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ndp.sharepoint.com/sites/o365grouppecoreambiente/Shared Documents/Medio Ambiente y Energia/NON GEF/75132-88355 PEI/5AWP y PP/2018/"/>
    </mc:Choice>
  </mc:AlternateContent>
  <bookViews>
    <workbookView xWindow="0" yWindow="0" windowWidth="20490" windowHeight="7530" tabRatio="500" firstSheet="1" activeTab="1"/>
  </bookViews>
  <sheets>
    <sheet name="PEI PERu CO Project Workplan" sheetId="3" r:id="rId1"/>
    <sheet name="compromisos pago 2017" sheetId="4" r:id="rId2"/>
    <sheet name="presupuesto 2017" sheetId="5" r:id="rId3"/>
    <sheet name="Workplan Data" sheetId="1" state="hidden" r:id="rId4"/>
  </sheets>
  <externalReferences>
    <externalReference r:id="rId5"/>
  </externalReferenc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3" l="1"/>
  <c r="H39" i="3"/>
  <c r="F38" i="3"/>
  <c r="H38" i="3" s="1"/>
  <c r="H37" i="3"/>
  <c r="H36" i="3"/>
  <c r="H35" i="3"/>
  <c r="F33" i="3"/>
  <c r="H33" i="3" s="1"/>
  <c r="H6" i="5" l="1"/>
  <c r="H7" i="5" s="1"/>
  <c r="F8" i="3"/>
  <c r="F17" i="3"/>
  <c r="H17" i="3" s="1"/>
  <c r="K24" i="4"/>
  <c r="K27" i="4"/>
  <c r="K26" i="4"/>
  <c r="K25" i="4"/>
  <c r="K23" i="4"/>
  <c r="G17" i="5"/>
  <c r="I17" i="5" s="1"/>
  <c r="H17" i="5"/>
  <c r="G18" i="5"/>
  <c r="I18" i="5" s="1"/>
  <c r="I19" i="5"/>
  <c r="H20" i="5"/>
  <c r="G22" i="5"/>
  <c r="I22" i="5"/>
  <c r="H45" i="5"/>
  <c r="I45" i="5" s="1"/>
  <c r="G46" i="5"/>
  <c r="I46" i="5"/>
  <c r="G47" i="5"/>
  <c r="I47" i="5" s="1"/>
  <c r="J47" i="5" s="1"/>
  <c r="G48" i="5"/>
  <c r="I48" i="5"/>
  <c r="J48" i="5" s="1"/>
  <c r="I49" i="5"/>
  <c r="G50" i="5"/>
  <c r="I50" i="5"/>
  <c r="H52" i="5"/>
  <c r="G52" i="5"/>
  <c r="G73" i="5"/>
  <c r="H73" i="5"/>
  <c r="H78" i="5" s="1"/>
  <c r="G74" i="5"/>
  <c r="I74" i="5"/>
  <c r="G75" i="5"/>
  <c r="H75" i="5"/>
  <c r="G76" i="5"/>
  <c r="H77" i="5"/>
  <c r="G77" i="5"/>
  <c r="I102" i="5"/>
  <c r="J102" i="5" s="1"/>
  <c r="E103" i="5"/>
  <c r="G103" i="5" s="1"/>
  <c r="I104" i="5"/>
  <c r="I110" i="5"/>
  <c r="I111" i="5"/>
  <c r="J111" i="5" s="1"/>
  <c r="H112" i="5"/>
  <c r="I112" i="5"/>
  <c r="J112" i="5" s="1"/>
  <c r="I128" i="5"/>
  <c r="G129" i="5"/>
  <c r="G133" i="5" s="1"/>
  <c r="H129" i="5"/>
  <c r="G130" i="5"/>
  <c r="H130" i="5"/>
  <c r="I130" i="5"/>
  <c r="J130" i="5" s="1"/>
  <c r="G131" i="5"/>
  <c r="G132" i="5"/>
  <c r="I132" i="5" s="1"/>
  <c r="J132" i="5" s="1"/>
  <c r="G4" i="5"/>
  <c r="I4" i="5" s="1"/>
  <c r="J4" i="5" s="1"/>
  <c r="I5" i="5"/>
  <c r="J5" i="5" s="1"/>
  <c r="G6" i="5"/>
  <c r="I7" i="5"/>
  <c r="J7" i="5" s="1"/>
  <c r="H24" i="5"/>
  <c r="H33" i="5" s="1"/>
  <c r="I25" i="5"/>
  <c r="J25" i="5" s="1"/>
  <c r="E26" i="5"/>
  <c r="G26" i="5"/>
  <c r="H26" i="5"/>
  <c r="G27" i="5"/>
  <c r="I27" i="5" s="1"/>
  <c r="J27" i="5" s="1"/>
  <c r="G28" i="5"/>
  <c r="I28" i="5" s="1"/>
  <c r="J28" i="5" s="1"/>
  <c r="G29" i="5"/>
  <c r="I29" i="5"/>
  <c r="J29" i="5" s="1"/>
  <c r="G30" i="5"/>
  <c r="I30" i="5" s="1"/>
  <c r="G31" i="5"/>
  <c r="G32" i="5"/>
  <c r="H32" i="5"/>
  <c r="I32" i="5"/>
  <c r="J32" i="5" s="1"/>
  <c r="E35" i="5"/>
  <c r="G35" i="5" s="1"/>
  <c r="I35" i="5"/>
  <c r="G36" i="5"/>
  <c r="H36" i="5"/>
  <c r="H37" i="5" s="1"/>
  <c r="H41" i="5" s="1"/>
  <c r="G54" i="5"/>
  <c r="I54" i="5"/>
  <c r="G55" i="5"/>
  <c r="I55" i="5"/>
  <c r="G56" i="5"/>
  <c r="I56" i="5"/>
  <c r="G57" i="5"/>
  <c r="I57" i="5"/>
  <c r="J57" i="5" s="1"/>
  <c r="G58" i="5"/>
  <c r="I58" i="5"/>
  <c r="G59" i="5"/>
  <c r="I59" i="5"/>
  <c r="J59" i="5" s="1"/>
  <c r="G60" i="5"/>
  <c r="H60" i="5"/>
  <c r="G61" i="5"/>
  <c r="I61" i="5" s="1"/>
  <c r="G62" i="5"/>
  <c r="G64" i="5" s="1"/>
  <c r="H63" i="5"/>
  <c r="H62" i="5"/>
  <c r="E63" i="5"/>
  <c r="G63" i="5" s="1"/>
  <c r="G66" i="5"/>
  <c r="G68" i="5" s="1"/>
  <c r="H66" i="5"/>
  <c r="H67" i="5" s="1"/>
  <c r="I67" i="5" s="1"/>
  <c r="J67" i="5" s="1"/>
  <c r="G79" i="5"/>
  <c r="G80" i="5"/>
  <c r="I80" i="5" s="1"/>
  <c r="G81" i="5"/>
  <c r="H81" i="5"/>
  <c r="I81" i="5" s="1"/>
  <c r="J81" i="5" s="1"/>
  <c r="G82" i="5"/>
  <c r="I82" i="5" s="1"/>
  <c r="J82" i="5" s="1"/>
  <c r="G83" i="5"/>
  <c r="I83" i="5" s="1"/>
  <c r="J83" i="5" s="1"/>
  <c r="G84" i="5"/>
  <c r="I84" i="5" s="1"/>
  <c r="J84" i="5" s="1"/>
  <c r="G85" i="5"/>
  <c r="I85" i="5" s="1"/>
  <c r="J85" i="5" s="1"/>
  <c r="G86" i="5"/>
  <c r="I86" i="5" s="1"/>
  <c r="J86" i="5" s="1"/>
  <c r="G87" i="5"/>
  <c r="H88" i="5"/>
  <c r="G88" i="5"/>
  <c r="G93" i="5"/>
  <c r="I94" i="5"/>
  <c r="J94" i="5" s="1"/>
  <c r="G106" i="5"/>
  <c r="I106" i="5"/>
  <c r="J106" i="5" s="1"/>
  <c r="G107" i="5"/>
  <c r="H107" i="5"/>
  <c r="I107" i="5" s="1"/>
  <c r="G114" i="5"/>
  <c r="I114" i="5" s="1"/>
  <c r="E115" i="5"/>
  <c r="G115" i="5" s="1"/>
  <c r="I115" i="5" s="1"/>
  <c r="J115" i="5" s="1"/>
  <c r="E116" i="5"/>
  <c r="G116" i="5"/>
  <c r="I116" i="5" s="1"/>
  <c r="J116" i="5" s="1"/>
  <c r="G117" i="5"/>
  <c r="I117" i="5" s="1"/>
  <c r="J117" i="5" s="1"/>
  <c r="G118" i="5"/>
  <c r="I118" i="5" s="1"/>
  <c r="J118" i="5" s="1"/>
  <c r="G119" i="5"/>
  <c r="I119" i="5" s="1"/>
  <c r="J119" i="5" s="1"/>
  <c r="H120" i="5"/>
  <c r="H121" i="5" s="1"/>
  <c r="I120" i="5"/>
  <c r="G134" i="5"/>
  <c r="I134" i="5"/>
  <c r="G135" i="5"/>
  <c r="H135" i="5"/>
  <c r="G136" i="5"/>
  <c r="I136" i="5"/>
  <c r="J136" i="5" s="1"/>
  <c r="G137" i="5"/>
  <c r="G9" i="5"/>
  <c r="I9" i="5" s="1"/>
  <c r="J9" i="5" s="1"/>
  <c r="G10" i="5"/>
  <c r="G11" i="5"/>
  <c r="I11" i="5"/>
  <c r="G12" i="5"/>
  <c r="H12" i="5"/>
  <c r="G38" i="5"/>
  <c r="G40" i="5"/>
  <c r="H39" i="5"/>
  <c r="H40" i="5"/>
  <c r="G69" i="5"/>
  <c r="I70" i="5"/>
  <c r="J70" i="5" s="1"/>
  <c r="G96" i="5"/>
  <c r="I97" i="5"/>
  <c r="J97" i="5" s="1"/>
  <c r="G122" i="5"/>
  <c r="E123" i="5"/>
  <c r="G123" i="5" s="1"/>
  <c r="I123" i="5" s="1"/>
  <c r="J123" i="5" s="1"/>
  <c r="G124" i="5"/>
  <c r="I124" i="5" s="1"/>
  <c r="J124" i="5" s="1"/>
  <c r="G125" i="5"/>
  <c r="I125" i="5" s="1"/>
  <c r="H125" i="5"/>
  <c r="H126" i="5" s="1"/>
  <c r="G8" i="5"/>
  <c r="G92" i="5"/>
  <c r="I92" i="5" s="1"/>
  <c r="G113" i="5"/>
  <c r="H13" i="5"/>
  <c r="H151" i="5" s="1"/>
  <c r="H8" i="5"/>
  <c r="H71" i="5"/>
  <c r="H98" i="5"/>
  <c r="H99" i="5" s="1"/>
  <c r="H95" i="5"/>
  <c r="H113" i="5"/>
  <c r="H127" i="5"/>
  <c r="G23" i="5"/>
  <c r="G16" i="5"/>
  <c r="G44" i="5"/>
  <c r="G108" i="5"/>
  <c r="G101" i="5"/>
  <c r="H23" i="5"/>
  <c r="H16" i="5"/>
  <c r="H64" i="5"/>
  <c r="H53" i="5"/>
  <c r="H44" i="5"/>
  <c r="H105" i="5"/>
  <c r="H101" i="5"/>
  <c r="J18" i="5"/>
  <c r="J19" i="5"/>
  <c r="J22" i="5"/>
  <c r="J46" i="5"/>
  <c r="J49" i="5"/>
  <c r="J50" i="5"/>
  <c r="J74" i="5"/>
  <c r="J104" i="5"/>
  <c r="J110" i="5"/>
  <c r="J113" i="5" s="1"/>
  <c r="J128" i="5"/>
  <c r="J30" i="5"/>
  <c r="J35" i="5"/>
  <c r="D56" i="5"/>
  <c r="D54" i="5" s="1"/>
  <c r="D64" i="5" s="1"/>
  <c r="D65" i="5" s="1"/>
  <c r="J55" i="5"/>
  <c r="J58" i="5"/>
  <c r="J61" i="5"/>
  <c r="J80" i="5"/>
  <c r="J114" i="5"/>
  <c r="J120" i="5"/>
  <c r="J134" i="5"/>
  <c r="J11" i="5"/>
  <c r="D40" i="5"/>
  <c r="J125" i="5"/>
  <c r="F17" i="5"/>
  <c r="E18" i="5"/>
  <c r="F18" i="5"/>
  <c r="E19" i="5"/>
  <c r="E20" i="5"/>
  <c r="F20" i="5" s="1"/>
  <c r="F21" i="5"/>
  <c r="F22" i="5"/>
  <c r="F45" i="5"/>
  <c r="E46" i="5"/>
  <c r="F46" i="5"/>
  <c r="F47" i="5"/>
  <c r="E48" i="5"/>
  <c r="F48" i="5" s="1"/>
  <c r="F49" i="5"/>
  <c r="E50" i="5"/>
  <c r="F50" i="5"/>
  <c r="F51" i="5"/>
  <c r="F52" i="5"/>
  <c r="F73" i="5"/>
  <c r="F74" i="5"/>
  <c r="F75" i="5"/>
  <c r="F76" i="5"/>
  <c r="F77" i="5"/>
  <c r="E102" i="5"/>
  <c r="F102" i="5" s="1"/>
  <c r="F103" i="5"/>
  <c r="F104" i="5"/>
  <c r="F110" i="5"/>
  <c r="F111" i="5"/>
  <c r="F112" i="5"/>
  <c r="F128" i="5"/>
  <c r="F133" i="5" s="1"/>
  <c r="F129" i="5"/>
  <c r="F130" i="5"/>
  <c r="F131" i="5"/>
  <c r="F132" i="5"/>
  <c r="E4" i="5"/>
  <c r="F4" i="5" s="1"/>
  <c r="F5" i="5"/>
  <c r="E6" i="5"/>
  <c r="F6" i="5" s="1"/>
  <c r="E7" i="5"/>
  <c r="F7" i="5"/>
  <c r="E24" i="5"/>
  <c r="F25" i="5"/>
  <c r="F26" i="5"/>
  <c r="F27" i="5"/>
  <c r="F28" i="5"/>
  <c r="F29" i="5"/>
  <c r="F30" i="5"/>
  <c r="F31" i="5"/>
  <c r="E32" i="5"/>
  <c r="F32" i="5"/>
  <c r="F35" i="5"/>
  <c r="F36" i="5"/>
  <c r="F55" i="5"/>
  <c r="F56" i="5"/>
  <c r="F57" i="5"/>
  <c r="F58" i="5"/>
  <c r="F59" i="5"/>
  <c r="F60" i="5"/>
  <c r="F61" i="5"/>
  <c r="F62" i="5"/>
  <c r="F63" i="5"/>
  <c r="F66" i="5"/>
  <c r="F68" i="5" s="1"/>
  <c r="F67" i="5"/>
  <c r="F79" i="5"/>
  <c r="F80" i="5"/>
  <c r="F81" i="5"/>
  <c r="F82" i="5"/>
  <c r="F83" i="5"/>
  <c r="F84" i="5"/>
  <c r="F85" i="5"/>
  <c r="F86" i="5"/>
  <c r="F87" i="5"/>
  <c r="F88" i="5"/>
  <c r="F93" i="5"/>
  <c r="F95" i="5" s="1"/>
  <c r="F94" i="5"/>
  <c r="F106" i="5"/>
  <c r="F107" i="5"/>
  <c r="F114" i="5"/>
  <c r="F116" i="5"/>
  <c r="F117" i="5"/>
  <c r="F118" i="5"/>
  <c r="F119" i="5"/>
  <c r="F120" i="5"/>
  <c r="F134" i="5"/>
  <c r="F135" i="5"/>
  <c r="F136" i="5"/>
  <c r="F137" i="5"/>
  <c r="E9" i="5"/>
  <c r="F9" i="5" s="1"/>
  <c r="F13" i="5" s="1"/>
  <c r="E10" i="5"/>
  <c r="F10" i="5"/>
  <c r="E11" i="5"/>
  <c r="F11" i="5" s="1"/>
  <c r="E12" i="5"/>
  <c r="F12" i="5" s="1"/>
  <c r="F38" i="5"/>
  <c r="F39" i="5"/>
  <c r="F40" i="5" s="1"/>
  <c r="F69" i="5"/>
  <c r="F70" i="5"/>
  <c r="F96" i="5"/>
  <c r="F97" i="5"/>
  <c r="F122" i="5"/>
  <c r="F123" i="5"/>
  <c r="F126" i="5" s="1"/>
  <c r="F124" i="5"/>
  <c r="F125" i="5"/>
  <c r="E78" i="5"/>
  <c r="E105" i="5"/>
  <c r="E113" i="5"/>
  <c r="E133" i="5"/>
  <c r="E8" i="5"/>
  <c r="E37" i="5"/>
  <c r="E64" i="5"/>
  <c r="E68" i="5"/>
  <c r="E89" i="5"/>
  <c r="E95" i="5"/>
  <c r="E108" i="5"/>
  <c r="E138" i="5"/>
  <c r="E139" i="5" s="1"/>
  <c r="E40" i="5"/>
  <c r="E71" i="5"/>
  <c r="E98" i="5"/>
  <c r="E126" i="5"/>
  <c r="D23" i="5"/>
  <c r="D53" i="5"/>
  <c r="D78" i="5"/>
  <c r="D105" i="5"/>
  <c r="D113" i="5"/>
  <c r="D133" i="5"/>
  <c r="D139" i="5" s="1"/>
  <c r="D8" i="5"/>
  <c r="D33" i="5"/>
  <c r="D68" i="5"/>
  <c r="D89" i="5"/>
  <c r="D95" i="5"/>
  <c r="D108" i="5"/>
  <c r="D121" i="5"/>
  <c r="D138" i="5"/>
  <c r="D13" i="5"/>
  <c r="D71" i="5"/>
  <c r="D151" i="5" s="1"/>
  <c r="D98" i="5"/>
  <c r="D126" i="5"/>
  <c r="E41" i="5"/>
  <c r="E92" i="5"/>
  <c r="E99" i="5" s="1"/>
  <c r="D92" i="5"/>
  <c r="I15" i="5"/>
  <c r="I42" i="5"/>
  <c r="J42" i="5"/>
  <c r="I43" i="5"/>
  <c r="J43" i="5"/>
  <c r="D14" i="5"/>
  <c r="D99" i="5"/>
  <c r="D109" i="5"/>
  <c r="I44" i="5"/>
  <c r="F91" i="5"/>
  <c r="F92" i="5" s="1"/>
  <c r="F100" i="5"/>
  <c r="F101" i="5" s="1"/>
  <c r="XFD139" i="5"/>
  <c r="I100" i="5"/>
  <c r="J100" i="5" s="1"/>
  <c r="J101" i="5" s="1"/>
  <c r="I101" i="5"/>
  <c r="I91" i="5"/>
  <c r="J91" i="5" s="1"/>
  <c r="I39" i="5"/>
  <c r="J39" i="5" s="1"/>
  <c r="I38" i="5"/>
  <c r="J38" i="5" s="1"/>
  <c r="F15" i="5"/>
  <c r="K3" i="4"/>
  <c r="K5" i="4"/>
  <c r="K9" i="4"/>
  <c r="K12" i="4"/>
  <c r="K13" i="4"/>
  <c r="K18" i="4"/>
  <c r="K19" i="4"/>
  <c r="K20" i="4"/>
  <c r="K22" i="4"/>
  <c r="H8" i="3"/>
  <c r="H18" i="3"/>
  <c r="H10" i="3"/>
  <c r="H11" i="3"/>
  <c r="H19" i="3"/>
  <c r="H16" i="3"/>
  <c r="H20" i="3"/>
  <c r="F21" i="3"/>
  <c r="F13" i="3"/>
  <c r="F23" i="3"/>
  <c r="F26" i="3" s="1"/>
  <c r="G13" i="3"/>
  <c r="G21" i="3"/>
  <c r="G23" i="3" s="1"/>
  <c r="G26" i="3" s="1"/>
  <c r="H43" i="3"/>
  <c r="H44" i="3"/>
  <c r="G44" i="3"/>
  <c r="F44" i="3"/>
  <c r="J107" i="5" l="1"/>
  <c r="I108" i="5"/>
  <c r="I23" i="5"/>
  <c r="J17" i="5"/>
  <c r="J23" i="5" s="1"/>
  <c r="D150" i="5"/>
  <c r="H109" i="5"/>
  <c r="D90" i="5"/>
  <c r="E121" i="5"/>
  <c r="E127" i="5" s="1"/>
  <c r="E72" i="5"/>
  <c r="F71" i="5"/>
  <c r="F72" i="5" s="1"/>
  <c r="F8" i="5"/>
  <c r="E53" i="5"/>
  <c r="E65" i="5" s="1"/>
  <c r="H108" i="5"/>
  <c r="I12" i="5"/>
  <c r="J12" i="5" s="1"/>
  <c r="I63" i="5"/>
  <c r="J63" i="5" s="1"/>
  <c r="G89" i="5"/>
  <c r="D41" i="5"/>
  <c r="J44" i="5"/>
  <c r="F115" i="5"/>
  <c r="H65" i="5"/>
  <c r="J92" i="5"/>
  <c r="I40" i="5"/>
  <c r="J40" i="5" s="1"/>
  <c r="J108" i="5"/>
  <c r="I66" i="5"/>
  <c r="J66" i="5" s="1"/>
  <c r="J56" i="5"/>
  <c r="H21" i="3"/>
  <c r="E90" i="5"/>
  <c r="D127" i="5"/>
  <c r="D149" i="5"/>
  <c r="D152" i="5" s="1"/>
  <c r="E109" i="5"/>
  <c r="F138" i="5"/>
  <c r="F37" i="5"/>
  <c r="E23" i="5"/>
  <c r="E149" i="5" s="1"/>
  <c r="H89" i="5"/>
  <c r="H90" i="5" s="1"/>
  <c r="I88" i="5"/>
  <c r="J88" i="5" s="1"/>
  <c r="I79" i="5"/>
  <c r="H31" i="5"/>
  <c r="I31" i="5" s="1"/>
  <c r="J31" i="5" s="1"/>
  <c r="I24" i="5"/>
  <c r="H13" i="3"/>
  <c r="F14" i="5"/>
  <c r="J34" i="5"/>
  <c r="H133" i="5"/>
  <c r="I129" i="5"/>
  <c r="J129" i="5" s="1"/>
  <c r="J133" i="5" s="1"/>
  <c r="H131" i="5"/>
  <c r="F89" i="5"/>
  <c r="I26" i="5"/>
  <c r="J26" i="5" s="1"/>
  <c r="G33" i="5"/>
  <c r="G34" i="5" s="1"/>
  <c r="F99" i="5"/>
  <c r="D34" i="5"/>
  <c r="D142" i="5" s="1"/>
  <c r="J15" i="5"/>
  <c r="J16" i="5" s="1"/>
  <c r="I16" i="5"/>
  <c r="E13" i="5"/>
  <c r="E151" i="5" s="1"/>
  <c r="F121" i="5"/>
  <c r="F54" i="5"/>
  <c r="F64" i="5" s="1"/>
  <c r="F139" i="5"/>
  <c r="F78" i="5"/>
  <c r="F90" i="5" s="1"/>
  <c r="F19" i="5"/>
  <c r="F23" i="5"/>
  <c r="J121" i="5"/>
  <c r="J54" i="5"/>
  <c r="J64" i="5" s="1"/>
  <c r="G13" i="5"/>
  <c r="I10" i="5"/>
  <c r="I135" i="5"/>
  <c r="G138" i="5"/>
  <c r="G139" i="5" s="1"/>
  <c r="G121" i="5"/>
  <c r="I77" i="5"/>
  <c r="J77" i="5" s="1"/>
  <c r="G78" i="5"/>
  <c r="G90" i="5" s="1"/>
  <c r="I73" i="5"/>
  <c r="D72" i="5"/>
  <c r="D140" i="5" s="1"/>
  <c r="I89" i="5"/>
  <c r="J79" i="5"/>
  <c r="J89" i="5" s="1"/>
  <c r="I33" i="5"/>
  <c r="I34" i="5" s="1"/>
  <c r="J24" i="5"/>
  <c r="J33" i="5" s="1"/>
  <c r="H21" i="5"/>
  <c r="I21" i="5" s="1"/>
  <c r="J21" i="5" s="1"/>
  <c r="I20" i="5"/>
  <c r="J20" i="5" s="1"/>
  <c r="F41" i="5"/>
  <c r="J68" i="5"/>
  <c r="G95" i="5"/>
  <c r="I93" i="5"/>
  <c r="H87" i="5"/>
  <c r="I87" i="5" s="1"/>
  <c r="J87" i="5" s="1"/>
  <c r="G105" i="5"/>
  <c r="G109" i="5" s="1"/>
  <c r="I103" i="5"/>
  <c r="H51" i="5"/>
  <c r="I51" i="5" s="1"/>
  <c r="J51" i="5" s="1"/>
  <c r="I52" i="5"/>
  <c r="J52" i="5" s="1"/>
  <c r="I69" i="5"/>
  <c r="G71" i="5"/>
  <c r="G72" i="5" s="1"/>
  <c r="I36" i="5"/>
  <c r="J36" i="5" s="1"/>
  <c r="J37" i="5" s="1"/>
  <c r="G37" i="5"/>
  <c r="G41" i="5" s="1"/>
  <c r="G53" i="5"/>
  <c r="G149" i="5" s="1"/>
  <c r="G152" i="5" s="1"/>
  <c r="I60" i="5"/>
  <c r="J60" i="5" s="1"/>
  <c r="I53" i="5"/>
  <c r="J45" i="5"/>
  <c r="J53" i="5" s="1"/>
  <c r="F24" i="5"/>
  <c r="F33" i="5" s="1"/>
  <c r="E33" i="5"/>
  <c r="F113" i="5"/>
  <c r="F105" i="5"/>
  <c r="H34" i="5"/>
  <c r="H149" i="5"/>
  <c r="H152" i="5" s="1"/>
  <c r="H68" i="5"/>
  <c r="H72" i="5" s="1"/>
  <c r="H14" i="5"/>
  <c r="I122" i="5"/>
  <c r="G126" i="5"/>
  <c r="G127" i="5" s="1"/>
  <c r="I121" i="5"/>
  <c r="I68" i="5"/>
  <c r="I62" i="5"/>
  <c r="J62" i="5" s="1"/>
  <c r="I6" i="5"/>
  <c r="J6" i="5" s="1"/>
  <c r="J8" i="5" s="1"/>
  <c r="I131" i="5"/>
  <c r="J131" i="5" s="1"/>
  <c r="I113" i="5"/>
  <c r="H76" i="5"/>
  <c r="I76" i="5" s="1"/>
  <c r="J76" i="5" s="1"/>
  <c r="F98" i="5"/>
  <c r="F108" i="5"/>
  <c r="F150" i="5" s="1"/>
  <c r="F53" i="5"/>
  <c r="I96" i="5"/>
  <c r="G98" i="5"/>
  <c r="G99" i="5" s="1"/>
  <c r="H137" i="5"/>
  <c r="I137" i="5" s="1"/>
  <c r="J137" i="5" s="1"/>
  <c r="H138" i="5"/>
  <c r="H139" i="5" s="1"/>
  <c r="I75" i="5"/>
  <c r="J75" i="5" s="1"/>
  <c r="F109" i="5" l="1"/>
  <c r="F151" i="5"/>
  <c r="J41" i="5"/>
  <c r="E34" i="5"/>
  <c r="E142" i="5" s="1"/>
  <c r="E14" i="5"/>
  <c r="E140" i="5" s="1"/>
  <c r="E147" i="5" s="1"/>
  <c r="H23" i="3"/>
  <c r="H26" i="3" s="1"/>
  <c r="I71" i="5"/>
  <c r="I72" i="5" s="1"/>
  <c r="J69" i="5"/>
  <c r="J71" i="5" s="1"/>
  <c r="J72" i="5" s="1"/>
  <c r="E141" i="5"/>
  <c r="E143" i="5" s="1"/>
  <c r="H150" i="5"/>
  <c r="J135" i="5"/>
  <c r="J138" i="5" s="1"/>
  <c r="J139" i="5" s="1"/>
  <c r="I138" i="5"/>
  <c r="F149" i="5"/>
  <c r="F152" i="5" s="1"/>
  <c r="F34" i="5"/>
  <c r="J122" i="5"/>
  <c r="J126" i="5" s="1"/>
  <c r="J127" i="5" s="1"/>
  <c r="I126" i="5"/>
  <c r="I127" i="5" s="1"/>
  <c r="H142" i="5"/>
  <c r="J73" i="5"/>
  <c r="J78" i="5" s="1"/>
  <c r="J90" i="5" s="1"/>
  <c r="I78" i="5"/>
  <c r="I64" i="5"/>
  <c r="I65" i="5" s="1"/>
  <c r="J65" i="5"/>
  <c r="F127" i="5"/>
  <c r="D141" i="5"/>
  <c r="G65" i="5"/>
  <c r="G142" i="5" s="1"/>
  <c r="I95" i="5"/>
  <c r="J93" i="5"/>
  <c r="J95" i="5" s="1"/>
  <c r="J150" i="5" s="1"/>
  <c r="G151" i="5"/>
  <c r="G14" i="5"/>
  <c r="G150" i="5"/>
  <c r="J103" i="5"/>
  <c r="J105" i="5" s="1"/>
  <c r="J109" i="5" s="1"/>
  <c r="I105" i="5"/>
  <c r="I109" i="5" s="1"/>
  <c r="I37" i="5"/>
  <c r="I41" i="5" s="1"/>
  <c r="J96" i="5"/>
  <c r="J98" i="5" s="1"/>
  <c r="J99" i="5" s="1"/>
  <c r="I98" i="5"/>
  <c r="I99" i="5" s="1"/>
  <c r="F65" i="5"/>
  <c r="H141" i="5"/>
  <c r="H140" i="5"/>
  <c r="I8" i="5"/>
  <c r="I150" i="5" s="1"/>
  <c r="I133" i="5"/>
  <c r="E150" i="5"/>
  <c r="E152" i="5" s="1"/>
  <c r="J10" i="5"/>
  <c r="J13" i="5" s="1"/>
  <c r="I13" i="5"/>
  <c r="F142" i="5"/>
  <c r="F140" i="5" l="1"/>
  <c r="J142" i="5"/>
  <c r="I139" i="5"/>
  <c r="I149" i="5"/>
  <c r="I152" i="5" s="1"/>
  <c r="I151" i="5"/>
  <c r="I14" i="5"/>
  <c r="J151" i="5"/>
  <c r="J14" i="5"/>
  <c r="I142" i="5"/>
  <c r="I90" i="5"/>
  <c r="J149" i="5"/>
  <c r="J152" i="5" s="1"/>
  <c r="D143" i="5"/>
  <c r="F141" i="5"/>
  <c r="F143" i="5" s="1"/>
  <c r="H143" i="5"/>
  <c r="G141" i="5"/>
  <c r="G140" i="5"/>
  <c r="J141" i="5" l="1"/>
  <c r="J143" i="5" s="1"/>
  <c r="J140" i="5"/>
  <c r="G143" i="5"/>
  <c r="G153" i="5" s="1"/>
  <c r="I141" i="5"/>
  <c r="I143" i="5" s="1"/>
  <c r="I153" i="5" s="1"/>
  <c r="I140" i="5"/>
</calcChain>
</file>

<file path=xl/comments1.xml><?xml version="1.0" encoding="utf-8"?>
<comments xmlns="http://schemas.openxmlformats.org/spreadsheetml/2006/main">
  <authors>
    <author>DELL05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verificar
</t>
        </r>
      </text>
    </comment>
  </commentList>
</comments>
</file>

<file path=xl/comments2.xml><?xml version="1.0" encoding="utf-8"?>
<comments xmlns="http://schemas.openxmlformats.org/spreadsheetml/2006/main">
  <authors>
    <author>DELL05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ACTVITY 1 REVERTIR 6.22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-1520.92 ERRR EN COA 70100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se va a revertir los 1520.92 a 41-30000 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SE RESTA AL SALDO 1185.41 AFECTACION  DONOR 11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reversion de la actvity 1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REVERTIR DE ACTV 1 13.3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se revierte a 5.1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DELL05:</t>
        </r>
        <r>
          <rPr>
            <sz val="9"/>
            <color indexed="81"/>
            <rFont val="Tahoma"/>
            <family val="2"/>
          </rPr>
          <t xml:space="preserve">
no esta afectado a ninguna cuenta, en ganacia y diferenca cambiaria</t>
        </r>
      </text>
    </comment>
  </commentList>
</comments>
</file>

<file path=xl/sharedStrings.xml><?xml version="1.0" encoding="utf-8"?>
<sst xmlns="http://schemas.openxmlformats.org/spreadsheetml/2006/main" count="393" uniqueCount="238">
  <si>
    <t>61100 - Salaries Costs - NP Staff</t>
  </si>
  <si>
    <t>61200 - Salaries Costs - GS Staff</t>
  </si>
  <si>
    <t>62100 - Recur Payroll Costs - NP Staff</t>
  </si>
  <si>
    <t>62200 - Recur Payroll Costs - GS Staff</t>
  </si>
  <si>
    <t>62300 - Recur Payroll Costs - IP Staff</t>
  </si>
  <si>
    <t>63100 - Non-Recurrent Payroll - NP Staff</t>
  </si>
  <si>
    <t>63200 - Non-Recurrent Payroll - GS Staff</t>
  </si>
  <si>
    <t>63300 - Non-Recurrent Payroll - IP Staff</t>
  </si>
  <si>
    <t>63400 - Learning Costs</t>
  </si>
  <si>
    <t>64100 - Staff Mgmt Costs - NP Staff</t>
  </si>
  <si>
    <t>64200 - Staff Mgmt Costs - GS Staff</t>
  </si>
  <si>
    <t>64300 - Staff Mgmt Costs - IP Staff</t>
  </si>
  <si>
    <t>71200 - International Consultants</t>
  </si>
  <si>
    <t>71300 - Local Consultants</t>
  </si>
  <si>
    <t>71400 - Contractual Services - Individual</t>
  </si>
  <si>
    <t xml:space="preserve">71500 - UN Volunteers </t>
  </si>
  <si>
    <t>71600 - Travel</t>
  </si>
  <si>
    <t>71800 - Contractual Services - Imp Partner</t>
  </si>
  <si>
    <t>72100 - Contractual Services - Companies</t>
  </si>
  <si>
    <t>72200 - Equipment and Furniture</t>
  </si>
  <si>
    <t>72300 - Materials and Goods</t>
  </si>
  <si>
    <t>72400 - Communications and Audio Visual Equip</t>
  </si>
  <si>
    <t>72500 - Supplies</t>
  </si>
  <si>
    <t>72600 - Grants</t>
  </si>
  <si>
    <t>72800 - Information Technology Equip</t>
  </si>
  <si>
    <t>73100 - Rental and Maintenance - Premises</t>
  </si>
  <si>
    <t>73300 - Rental and Maintenance of Info Tech Equip</t>
  </si>
  <si>
    <t>73500 - Reimbursement Costs</t>
  </si>
  <si>
    <t>74100 - Professional Services</t>
  </si>
  <si>
    <t>74200 - Audio Visual and Print Prod Costs</t>
  </si>
  <si>
    <t>74500 - Miscellaneous Expenses</t>
  </si>
  <si>
    <t>75100 - Facilities and Administration</t>
  </si>
  <si>
    <t>75700 - Training, Workshops and Conferences</t>
  </si>
  <si>
    <t>77100 - Salary and Related Costs TA/NP</t>
  </si>
  <si>
    <t>77200 - Salary and Related Costs TA/GS</t>
  </si>
  <si>
    <t>77300 - Salary and Related Costs TA/IP</t>
  </si>
  <si>
    <t>61300 - Salaries and Post Adj Costs - IP Staff</t>
  </si>
  <si>
    <t>Activities</t>
  </si>
  <si>
    <t>ATLAS Budget Description</t>
  </si>
  <si>
    <t>Budget by Quarter</t>
  </si>
  <si>
    <t>Total Budget</t>
  </si>
  <si>
    <t>Q1</t>
  </si>
  <si>
    <t>Q2</t>
  </si>
  <si>
    <t>Comments</t>
  </si>
  <si>
    <t>Implementing Agent</t>
  </si>
  <si>
    <t>001362 - BKF - NEX</t>
  </si>
  <si>
    <t>001415 - MLW - NEX</t>
  </si>
  <si>
    <t>001414 - MLI - NEX</t>
  </si>
  <si>
    <t>001411 - MAU - NEX</t>
  </si>
  <si>
    <t>001418 - MOZ - NEX</t>
  </si>
  <si>
    <t>001437 - RWA - NEX</t>
  </si>
  <si>
    <t>001459 - URT - NEX</t>
  </si>
  <si>
    <t>001360 - BGD - NEX</t>
  </si>
  <si>
    <t>001416 - MON - NEX</t>
  </si>
  <si>
    <t>001180 - NEP - Ministry of Local Development</t>
  </si>
  <si>
    <t>001606 - NEP - National Planning Commission</t>
  </si>
  <si>
    <t>001428 - PHI - NEX</t>
  </si>
  <si>
    <t>006594 - KGZ - NSC</t>
  </si>
  <si>
    <t>001827 - GUA - Secretaria de Planificacio</t>
  </si>
  <si>
    <t>003808 - PER - Ministero del Ambiente</t>
  </si>
  <si>
    <t>001981 - UNDP</t>
  </si>
  <si>
    <t xml:space="preserve">004326 - BTN - </t>
  </si>
  <si>
    <t xml:space="preserve">001990 - BTN - </t>
  </si>
  <si>
    <t>001402 - LAO - NEX</t>
  </si>
  <si>
    <t>PEI</t>
  </si>
  <si>
    <t>TRAC</t>
  </si>
  <si>
    <t>Local Donor</t>
  </si>
  <si>
    <t>GPC</t>
  </si>
  <si>
    <t xml:space="preserve">Total for PEI Project/ATLAS Output ID </t>
  </si>
  <si>
    <t>001993 - UNEP</t>
  </si>
  <si>
    <t>Audit</t>
  </si>
  <si>
    <t>Total for Essential Project Closure Costs</t>
  </si>
  <si>
    <t>Proposed PEI COUNTRY (Country ATLAS Output ID Number) Annual Work Plan 2018</t>
  </si>
  <si>
    <t>Expenditure Details (incl. 2017 PO Number); Expenditure Justification (incl. Staff Names); Linkage to AWP (Output Activity)</t>
  </si>
  <si>
    <t>2018 Budget by Quarter</t>
  </si>
  <si>
    <t>2017 PO Donor</t>
  </si>
  <si>
    <t>00012-TRAC</t>
  </si>
  <si>
    <t>00551-DFID</t>
  </si>
  <si>
    <t>00041-UNEP</t>
  </si>
  <si>
    <t>10159-EU</t>
  </si>
  <si>
    <t>Other</t>
  </si>
  <si>
    <t>Project Staff - Other Project Staff</t>
  </si>
  <si>
    <t>2017 PO Number/NIM ADVANCE</t>
  </si>
  <si>
    <t>PEI ESSENTIAL PROJECT CLOSURE COSTS SUMMARY  (EXTRACTED FROM 2018 WORK PLAN ABOVE)</t>
  </si>
  <si>
    <t>ATLAS Activity ID/Project Output 5: Gestión de proyecto y promoción de oportunidades de replicación de la experiencia sistematizada a municipios a nivel local y nacional con un scaling-up de la metodología.</t>
  </si>
  <si>
    <t>UNV Volunteers Esp. Administración y Logistica</t>
  </si>
  <si>
    <t>GMS</t>
  </si>
  <si>
    <t>Auditoria</t>
  </si>
  <si>
    <t>Consultorias Individuales</t>
  </si>
  <si>
    <t>Viajes  de seguimiento y monitoreo</t>
  </si>
  <si>
    <t>71300 -  Consultants</t>
  </si>
  <si>
    <t xml:space="preserve">NIM Audit/Auditoria NIM. </t>
  </si>
  <si>
    <t>Activity Result 5.1</t>
  </si>
  <si>
    <t>Viajes de seguimiento y monitoreo MINAM</t>
  </si>
  <si>
    <t>Coreecion de estilo estudios, planes desarrollados</t>
  </si>
  <si>
    <t>Evento de cierre de Proyecto</t>
  </si>
  <si>
    <t>Activity Result 5.2</t>
  </si>
  <si>
    <t>Sub-Total for Activity Result 5.2</t>
  </si>
  <si>
    <t>Total for ATLAS Activity ID/Project Output 5</t>
  </si>
  <si>
    <t>Sub-Total for Activity Result 5,1</t>
  </si>
  <si>
    <t>"Diagramación, corrección e Impresiones de todos los documentos trabajados (MPA, MINAM, PNUD)
Diagramming, correction and printing of all documents worked (MPA, MINAM, UNDP)/</t>
  </si>
  <si>
    <t xml:space="preserve">Monitoring OP, Communication and TA)/Seguimiento, monitoreo y sistematización (OP, Comunicación y AT) </t>
  </si>
  <si>
    <t>Closure event</t>
  </si>
  <si>
    <t>??? It depends on donor</t>
  </si>
  <si>
    <t>UNV Specialist in administration and logistics/ UNV Environmental Communicator/UNV Comunicador Ambiental/</t>
  </si>
  <si>
    <t>% CO Technical Asistance,  % CO Adminitrative Asistance %  My E  specialist project Closure</t>
  </si>
  <si>
    <t>71400 - Contractual Services - Individuales</t>
  </si>
  <si>
    <t>DONOR</t>
  </si>
  <si>
    <t>CUENTA</t>
  </si>
  <si>
    <t>ACTIVIDAD</t>
  </si>
  <si>
    <t>implementa</t>
  </si>
  <si>
    <t>Compromiso</t>
  </si>
  <si>
    <t>ESTADO</t>
  </si>
  <si>
    <t>Monto compromotido USD</t>
  </si>
  <si>
    <t>Monto pagado USD</t>
  </si>
  <si>
    <t>Monto pagado USD oct</t>
  </si>
  <si>
    <t>Monto pagado Noviembre</t>
  </si>
  <si>
    <t>Monto pendiente a diciembre</t>
  </si>
  <si>
    <t>Fecha inicio</t>
  </si>
  <si>
    <t>Fecha Fin</t>
  </si>
  <si>
    <t>Comentarios</t>
  </si>
  <si>
    <t>MINAM</t>
  </si>
  <si>
    <t>“Experto/a para la elaboración de Guías para PIGARS y PMRS”.</t>
  </si>
  <si>
    <t>Contratado</t>
  </si>
  <si>
    <t>28/06/2017</t>
  </si>
  <si>
    <t>28/10/2017</t>
  </si>
  <si>
    <t>MPA</t>
  </si>
  <si>
    <t>PASAJES AEREOS REUNION ANUAL/MINAM</t>
  </si>
  <si>
    <t>por pagar</t>
  </si>
  <si>
    <t>1,2</t>
  </si>
  <si>
    <t>solicitud de anticipo oct-nov</t>
  </si>
  <si>
    <t>Por rendir</t>
  </si>
  <si>
    <t>“SERVICIO DE ASESORÍA Y SUPERVISIÓN DE LAS ACTIVIDADES DESARROLLADAS EN EL PROYECTO PEI: GESTIÓN INTEGRAL DE RESIDUOS SÓLIDOS PARA EL DESARROLLO SOSTENIBLE E INCLUSIVO</t>
  </si>
  <si>
    <t>“Asistente Técnico Ambiental para la elaboración de Guías para Pigars y PMRS”.</t>
  </si>
  <si>
    <t>“Servicio de incorporación de instituciones públicas y privadas en el Programa ‘AQP Recicla’ de la Municipalidad Provincial de Arequipa”. (3 promotores)</t>
  </si>
  <si>
    <t>31/10/2017</t>
  </si>
  <si>
    <t>materiales de capacitación</t>
  </si>
  <si>
    <t>anticipo de fondos set y nueva solicitud nov</t>
  </si>
  <si>
    <t>Refrigeros talleres indicadores de genero</t>
  </si>
  <si>
    <t>impresión de reconocimientos empresas responsables y credenciales reciclaodores</t>
  </si>
  <si>
    <t>Elaboración de materiales y desarrollo de talleres sobre incorporación de aspectos sociales en planes de manejo de residuos sólidos a nivel distrital</t>
  </si>
  <si>
    <t>contratado</t>
  </si>
  <si>
    <t>18 setiembre</t>
  </si>
  <si>
    <t xml:space="preserve">17 de noviembre </t>
  </si>
  <si>
    <t>Pasajes aereos reunion anual Equipo PEI AQP</t>
  </si>
  <si>
    <t>anticipo de fondos</t>
  </si>
  <si>
    <t>por rendir</t>
  </si>
  <si>
    <t>Clausura programa de capacitación a recicladores y entrega de certificados</t>
  </si>
  <si>
    <t>Refrigerios talleres recicladores</t>
  </si>
  <si>
    <t>Iluminación de centro de acopio</t>
  </si>
  <si>
    <t>“Capacitación ‘Desarrollo de potencialidades en gestión de negocios’, ‘Resolución de conflictos’, y ‘Desarrollo de liderazgo para recicladores y recicladoras’”.</t>
  </si>
  <si>
    <t>1 de agosto</t>
  </si>
  <si>
    <t>31 de octubre</t>
  </si>
  <si>
    <t>Conferencia cierre de proyecto AQP</t>
  </si>
  <si>
    <t>5.2 y 4.2</t>
  </si>
  <si>
    <t>USB PIGARS</t>
  </si>
  <si>
    <t>Servicio de edicion y correccion de estilos</t>
  </si>
  <si>
    <t>29 de setiembre</t>
  </si>
  <si>
    <t>4 de diciembre</t>
  </si>
  <si>
    <t>Activity</t>
  </si>
  <si>
    <t>Donor</t>
  </si>
  <si>
    <t>Account</t>
  </si>
  <si>
    <t>Suma de Budget Total</t>
  </si>
  <si>
    <t>Suma de Exp+Full Asset Cost</t>
  </si>
  <si>
    <t>Suma de Budget Balance</t>
  </si>
  <si>
    <t>Suma de Exp+Full Asset Cost (+) Reversiones</t>
  </si>
  <si>
    <t>Compromisos a dic</t>
  </si>
  <si>
    <t>PPTO FINAL</t>
  </si>
  <si>
    <t>SALDO</t>
  </si>
  <si>
    <t>ACTIVITY 1.1</t>
  </si>
  <si>
    <t>UNV Monitoreo y evaluacion</t>
  </si>
  <si>
    <t>DIV- 6 de dic (3 unvs) y reversion de la 1.2</t>
  </si>
  <si>
    <t>Total 551</t>
  </si>
  <si>
    <t>revertir de 4.1</t>
  </si>
  <si>
    <t>Total 10159</t>
  </si>
  <si>
    <t>Total ACTIVITY 1.1</t>
  </si>
  <si>
    <t xml:space="preserve">del  2016  por falta a de  fondos UNV- revertiar a la Actividad 1.1 donor 10159 </t>
  </si>
  <si>
    <t>Total 11</t>
  </si>
  <si>
    <t>pediente pago de consultorias MINAM</t>
  </si>
  <si>
    <t>Total 41</t>
  </si>
  <si>
    <t>solocitar cambio cuenta pasar de 71400 a 71300</t>
  </si>
  <si>
    <t>participacion de MINAM en evento de cierre PEI AQP 2 personas</t>
  </si>
  <si>
    <t>Total ACTIVITY 1.2</t>
  </si>
  <si>
    <t>ACTIVITY 2.1</t>
  </si>
  <si>
    <t>EXCEDE EL PPTTO</t>
  </si>
  <si>
    <t>Total ACTIVITY 2.1</t>
  </si>
  <si>
    <t>impresiones de certificacion de empresas</t>
  </si>
  <si>
    <t>pago de karla Priego</t>
  </si>
  <si>
    <t>Total ACTIVITY 2.2</t>
  </si>
  <si>
    <t>ACTIVITY 3.1</t>
  </si>
  <si>
    <t>Total ACTIVITY 3.1</t>
  </si>
  <si>
    <t>ACTIVITY 3.2</t>
  </si>
  <si>
    <t>ceremonia de clausura</t>
  </si>
  <si>
    <t xml:space="preserve">iluminacion de centro de acopio/ </t>
  </si>
  <si>
    <t>talleres de negcios, fortalecimiento, Evento de cierre</t>
  </si>
  <si>
    <t>Total ACTIVITY 3.2</t>
  </si>
  <si>
    <t>ACTIVITY 4.1</t>
  </si>
  <si>
    <t>no me queda claro la disponibilidad en 4,1,</t>
  </si>
  <si>
    <t>revertir a 1.1 - 10159</t>
  </si>
  <si>
    <t>Total ACTIVITY 4.1</t>
  </si>
  <si>
    <t>saldo para impresiones</t>
  </si>
  <si>
    <t>Total ACTIVITY 4.2</t>
  </si>
  <si>
    <t xml:space="preserve">Evalucion PEI </t>
  </si>
  <si>
    <t>Impresión materiales</t>
  </si>
  <si>
    <t>Total ACTIVITY 5.1</t>
  </si>
  <si>
    <t>ACTIVITY5.2</t>
  </si>
  <si>
    <t>pagos 4 y 5 FDI a 2018??</t>
  </si>
  <si>
    <t>pago de USB PIGARS</t>
  </si>
  <si>
    <t>prefeeribel el 1 y 2 pago de FDI en 2017</t>
  </si>
  <si>
    <t>Total ACTIVITY5.2</t>
  </si>
  <si>
    <t>Total general</t>
  </si>
  <si>
    <t>PNUD</t>
  </si>
  <si>
    <t>AJUSTE</t>
  </si>
  <si>
    <t>1.1</t>
  </si>
  <si>
    <t xml:space="preserve"> enero 2018</t>
  </si>
  <si>
    <t>2000USD</t>
  </si>
  <si>
    <t>2.1</t>
  </si>
  <si>
    <t>UNV Gestion del conocimiento</t>
  </si>
  <si>
    <t>UNV Gestion Residuos</t>
  </si>
  <si>
    <t>UNV Genero</t>
  </si>
  <si>
    <t>UNV comunicación</t>
  </si>
  <si>
    <t>3.1</t>
  </si>
  <si>
    <t>4.1</t>
  </si>
  <si>
    <t>5.1</t>
  </si>
  <si>
    <t>UNV Adminitracion</t>
  </si>
  <si>
    <t>3000USD</t>
  </si>
  <si>
    <t>31 de marzo</t>
  </si>
  <si>
    <t>evaluacion</t>
  </si>
  <si>
    <t xml:space="preserve">Contratado </t>
  </si>
  <si>
    <t>????</t>
  </si>
  <si>
    <t xml:space="preserve">Sistematizacion </t>
  </si>
  <si>
    <t>sistematizacion</t>
  </si>
  <si>
    <t>fin noviembre</t>
  </si>
  <si>
    <t>viajes  seguimiento y monitoreo</t>
  </si>
  <si>
    <t xml:space="preserve">Evaluacion PEI </t>
  </si>
  <si>
    <t>Travel</t>
  </si>
  <si>
    <t>layout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</si>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</sst>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&quot;$&quot;#,##0"/>
    <numFmt numFmtId="167" formatCode="#,##0.00_ ;\-#,##0.00\ "/>
    <numFmt numFmtId="168" formatCode="_ * #,##0.0_ ;_ * \-#,##0.0_ ;_ * &quot;-&quot;??_ ;_ @_ "/>
    <numFmt numFmtId="169" formatCode="0.0"/>
    <numFmt numFmtId="170" formatCode="0.0000"/>
    <numFmt numFmtId="171" formatCode="_-[$$-409]* #,##0.00_ ;_-[$$-409]* \-#,##0.00\ ;_-[$$-409]* &quot;-&quot;??_ ;_-@_ 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4478CA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77B0FA"/>
        <bgColor rgb="FF000000"/>
      </patternFill>
    </fill>
    <fill>
      <patternFill patternType="solid">
        <fgColor rgb="FF9EC8F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7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6" borderId="0" applyNumberFormat="0" applyBorder="0" applyAlignment="0" applyProtection="0"/>
    <xf numFmtId="165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7" fillId="7" borderId="0" applyNumberFormat="0" applyBorder="0" applyAlignment="0" applyProtection="0"/>
    <xf numFmtId="165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/>
    <xf numFmtId="166" fontId="5" fillId="0" borderId="0" xfId="0" applyNumberFormat="1" applyFont="1" applyAlignment="1">
      <alignment horizontal="left" wrapText="1"/>
    </xf>
    <xf numFmtId="0" fontId="11" fillId="0" borderId="0" xfId="0" applyFont="1"/>
    <xf numFmtId="0" fontId="0" fillId="4" borderId="0" xfId="0" applyFont="1" applyFill="1" applyAlignment="1">
      <alignment wrapText="1"/>
    </xf>
    <xf numFmtId="0" fontId="0" fillId="0" borderId="0" xfId="0" applyFont="1"/>
    <xf numFmtId="0" fontId="14" fillId="4" borderId="0" xfId="0" applyFont="1" applyFill="1" applyAlignment="1">
      <alignment wrapText="1"/>
    </xf>
    <xf numFmtId="0" fontId="14" fillId="0" borderId="0" xfId="0" applyFont="1"/>
    <xf numFmtId="0" fontId="10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66" fontId="13" fillId="0" borderId="0" xfId="0" applyNumberFormat="1" applyFont="1" applyAlignment="1">
      <alignment horizontal="left" wrapText="1"/>
    </xf>
    <xf numFmtId="166" fontId="5" fillId="4" borderId="0" xfId="0" applyNumberFormat="1" applyFont="1" applyFill="1"/>
    <xf numFmtId="166" fontId="13" fillId="4" borderId="0" xfId="0" applyNumberFormat="1" applyFont="1" applyFill="1"/>
    <xf numFmtId="0" fontId="11" fillId="4" borderId="0" xfId="0" applyFont="1" applyFill="1" applyAlignment="1">
      <alignment wrapText="1"/>
    </xf>
    <xf numFmtId="166" fontId="15" fillId="4" borderId="0" xfId="0" applyNumberFormat="1" applyFont="1" applyFill="1" applyAlignment="1">
      <alignment horizontal="right"/>
    </xf>
    <xf numFmtId="166" fontId="13" fillId="4" borderId="0" xfId="0" applyNumberFormat="1" applyFont="1" applyFill="1" applyAlignment="1">
      <alignment horizontal="right"/>
    </xf>
    <xf numFmtId="166" fontId="15" fillId="4" borderId="0" xfId="0" applyNumberFormat="1" applyFont="1" applyFill="1"/>
    <xf numFmtId="166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right" wrapText="1"/>
    </xf>
    <xf numFmtId="0" fontId="11" fillId="0" borderId="0" xfId="0" applyFont="1"/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1" fillId="0" borderId="0" xfId="0" applyFont="1"/>
    <xf numFmtId="0" fontId="0" fillId="4" borderId="0" xfId="0" applyFont="1" applyFill="1" applyAlignment="1">
      <alignment wrapText="1"/>
    </xf>
    <xf numFmtId="0" fontId="0" fillId="0" borderId="0" xfId="0" applyFont="1"/>
    <xf numFmtId="166" fontId="5" fillId="4" borderId="0" xfId="0" applyNumberFormat="1" applyFont="1" applyFill="1"/>
    <xf numFmtId="166" fontId="8" fillId="0" borderId="0" xfId="0" applyNumberFormat="1" applyFont="1" applyAlignment="1">
      <alignment horizontal="right" wrapText="1"/>
    </xf>
    <xf numFmtId="0" fontId="11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6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0" xfId="0" applyFont="1"/>
    <xf numFmtId="166" fontId="13" fillId="4" borderId="0" xfId="0" applyNumberFormat="1" applyFont="1" applyFill="1"/>
    <xf numFmtId="166" fontId="15" fillId="4" borderId="0" xfId="0" applyNumberFormat="1" applyFont="1" applyFill="1"/>
    <xf numFmtId="166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/>
    </xf>
    <xf numFmtId="0" fontId="21" fillId="8" borderId="1" xfId="0" applyFont="1" applyFill="1" applyBorder="1" applyAlignment="1">
      <alignment horizontal="left" wrapText="1"/>
    </xf>
    <xf numFmtId="0" fontId="22" fillId="8" borderId="1" xfId="0" applyFont="1" applyFill="1" applyBorder="1" applyAlignment="1">
      <alignment horizontal="left" wrapText="1"/>
    </xf>
    <xf numFmtId="0" fontId="0" fillId="9" borderId="1" xfId="0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center" wrapText="1"/>
    </xf>
    <xf numFmtId="3" fontId="0" fillId="10" borderId="1" xfId="0" applyNumberFormat="1" applyFont="1" applyFill="1" applyBorder="1" applyAlignment="1">
      <alignment horizontal="left"/>
    </xf>
    <xf numFmtId="3" fontId="23" fillId="10" borderId="1" xfId="0" applyNumberFormat="1" applyFont="1" applyFill="1" applyBorder="1" applyAlignment="1">
      <alignment horizontal="left" vertical="center"/>
    </xf>
    <xf numFmtId="14" fontId="0" fillId="10" borderId="1" xfId="0" applyNumberFormat="1" applyFont="1" applyFill="1" applyBorder="1" applyAlignment="1">
      <alignment horizontal="left"/>
    </xf>
    <xf numFmtId="0" fontId="0" fillId="10" borderId="1" xfId="0" applyFill="1" applyBorder="1" applyAlignment="1">
      <alignment horizontal="center" vertical="center"/>
    </xf>
    <xf numFmtId="0" fontId="24" fillId="10" borderId="1" xfId="0" applyFont="1" applyFill="1" applyBorder="1" applyAlignment="1">
      <alignment horizontal="left" vertical="center" wrapText="1"/>
    </xf>
    <xf numFmtId="3" fontId="24" fillId="10" borderId="1" xfId="0" applyNumberFormat="1" applyFont="1" applyFill="1" applyBorder="1" applyAlignment="1">
      <alignment horizontal="left" vertical="center" wrapText="1"/>
    </xf>
    <xf numFmtId="14" fontId="24" fillId="10" borderId="1" xfId="0" applyNumberFormat="1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3" fontId="0" fillId="10" borderId="2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4" fontId="0" fillId="10" borderId="1" xfId="0" applyNumberFormat="1" applyFont="1" applyFill="1" applyBorder="1" applyAlignment="1">
      <alignment horizontal="left"/>
    </xf>
    <xf numFmtId="0" fontId="0" fillId="10" borderId="3" xfId="0" applyFont="1" applyFill="1" applyBorder="1" applyAlignment="1">
      <alignment horizontal="center" vertical="center"/>
    </xf>
    <xf numFmtId="3" fontId="0" fillId="10" borderId="3" xfId="0" applyNumberFormat="1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left" vertical="center" wrapText="1"/>
    </xf>
    <xf numFmtId="16" fontId="24" fillId="10" borderId="1" xfId="0" applyNumberFormat="1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2" xfId="0" applyFont="1" applyFill="1" applyBorder="1" applyAlignment="1">
      <alignment horizontal="left"/>
    </xf>
    <xf numFmtId="0" fontId="24" fillId="10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/>
    </xf>
    <xf numFmtId="0" fontId="0" fillId="10" borderId="1" xfId="0" applyFill="1" applyBorder="1"/>
    <xf numFmtId="164" fontId="0" fillId="10" borderId="1" xfId="0" applyNumberFormat="1" applyFont="1" applyFill="1" applyBorder="1"/>
    <xf numFmtId="0" fontId="0" fillId="10" borderId="1" xfId="0" applyFill="1" applyBorder="1" applyAlignment="1">
      <alignment horizontal="center" vertical="center" wrapText="1"/>
    </xf>
    <xf numFmtId="167" fontId="0" fillId="10" borderId="1" xfId="0" applyNumberFormat="1" applyFont="1" applyFill="1" applyBorder="1"/>
    <xf numFmtId="0" fontId="0" fillId="10" borderId="0" xfId="0" applyFill="1"/>
    <xf numFmtId="0" fontId="21" fillId="0" borderId="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6" xfId="0" applyFont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1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0" fillId="0" borderId="11" xfId="0" applyBorder="1"/>
    <xf numFmtId="0" fontId="0" fillId="0" borderId="12" xfId="0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Fill="1" applyBorder="1"/>
    <xf numFmtId="165" fontId="0" fillId="0" borderId="12" xfId="0" applyNumberFormat="1" applyBorder="1"/>
    <xf numFmtId="165" fontId="0" fillId="0" borderId="15" xfId="0" applyNumberFormat="1" applyBorder="1"/>
    <xf numFmtId="0" fontId="0" fillId="0" borderId="16" xfId="0" applyBorder="1"/>
    <xf numFmtId="0" fontId="0" fillId="0" borderId="1" xfId="0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Fill="1" applyBorder="1"/>
    <xf numFmtId="165" fontId="0" fillId="0" borderId="1" xfId="0" applyNumberFormat="1" applyBorder="1"/>
    <xf numFmtId="165" fontId="0" fillId="0" borderId="19" xfId="0" applyNumberFormat="1" applyBorder="1"/>
    <xf numFmtId="0" fontId="0" fillId="0" borderId="21" xfId="0" applyBorder="1"/>
    <xf numFmtId="0" fontId="0" fillId="0" borderId="22" xfId="0" applyBorder="1"/>
    <xf numFmtId="165" fontId="0" fillId="0" borderId="23" xfId="0" applyNumberFormat="1" applyBorder="1"/>
    <xf numFmtId="165" fontId="0" fillId="0" borderId="24" xfId="0" applyNumberFormat="1" applyFill="1" applyBorder="1"/>
    <xf numFmtId="165" fontId="0" fillId="0" borderId="24" xfId="0" applyNumberFormat="1" applyBorder="1"/>
    <xf numFmtId="9" fontId="0" fillId="10" borderId="1" xfId="0" applyNumberFormat="1" applyFill="1" applyBorder="1"/>
    <xf numFmtId="0" fontId="21" fillId="0" borderId="25" xfId="0" applyFont="1" applyBorder="1"/>
    <xf numFmtId="0" fontId="21" fillId="0" borderId="5" xfId="0" applyFont="1" applyBorder="1"/>
    <xf numFmtId="2" fontId="21" fillId="0" borderId="6" xfId="0" applyNumberFormat="1" applyFont="1" applyBorder="1"/>
    <xf numFmtId="2" fontId="21" fillId="0" borderId="7" xfId="0" applyNumberFormat="1" applyFont="1" applyBorder="1"/>
    <xf numFmtId="165" fontId="21" fillId="0" borderId="26" xfId="0" applyNumberFormat="1" applyFont="1" applyBorder="1"/>
    <xf numFmtId="165" fontId="21" fillId="0" borderId="6" xfId="0" applyNumberFormat="1" applyFont="1" applyBorder="1"/>
    <xf numFmtId="165" fontId="21" fillId="0" borderId="27" xfId="0" applyNumberFormat="1" applyFont="1" applyBorder="1"/>
    <xf numFmtId="165" fontId="0" fillId="10" borderId="1" xfId="0" applyNumberFormat="1" applyFill="1" applyBorder="1"/>
    <xf numFmtId="165" fontId="0" fillId="10" borderId="0" xfId="0" applyNumberFormat="1" applyFill="1"/>
    <xf numFmtId="165" fontId="0" fillId="0" borderId="30" xfId="0" applyNumberFormat="1" applyBorder="1"/>
    <xf numFmtId="165" fontId="0" fillId="0" borderId="4" xfId="0" applyNumberFormat="1" applyBorder="1"/>
    <xf numFmtId="165" fontId="0" fillId="0" borderId="31" xfId="0" applyNumberFormat="1" applyBorder="1"/>
    <xf numFmtId="0" fontId="0" fillId="0" borderId="17" xfId="0" applyBorder="1"/>
    <xf numFmtId="0" fontId="0" fillId="0" borderId="18" xfId="0" applyBorder="1"/>
    <xf numFmtId="0" fontId="0" fillId="13" borderId="17" xfId="0" applyFill="1" applyBorder="1"/>
    <xf numFmtId="0" fontId="0" fillId="0" borderId="19" xfId="0" applyBorder="1"/>
    <xf numFmtId="0" fontId="0" fillId="13" borderId="32" xfId="0" applyFill="1" applyBorder="1"/>
    <xf numFmtId="0" fontId="0" fillId="0" borderId="33" xfId="0" applyBorder="1"/>
    <xf numFmtId="165" fontId="0" fillId="0" borderId="2" xfId="0" applyNumberFormat="1" applyBorder="1"/>
    <xf numFmtId="0" fontId="0" fillId="0" borderId="2" xfId="0" applyBorder="1"/>
    <xf numFmtId="0" fontId="0" fillId="0" borderId="34" xfId="0" applyBorder="1"/>
    <xf numFmtId="0" fontId="21" fillId="14" borderId="5" xfId="0" applyFont="1" applyFill="1" applyBorder="1"/>
    <xf numFmtId="0" fontId="21" fillId="14" borderId="6" xfId="0" applyFont="1" applyFill="1" applyBorder="1"/>
    <xf numFmtId="0" fontId="0" fillId="14" borderId="6" xfId="0" applyFill="1" applyBorder="1"/>
    <xf numFmtId="2" fontId="21" fillId="14" borderId="6" xfId="0" applyNumberFormat="1" applyFont="1" applyFill="1" applyBorder="1"/>
    <xf numFmtId="165" fontId="21" fillId="14" borderId="6" xfId="0" applyNumberFormat="1" applyFont="1" applyFill="1" applyBorder="1"/>
    <xf numFmtId="165" fontId="21" fillId="14" borderId="27" xfId="0" applyNumberFormat="1" applyFont="1" applyFill="1" applyBorder="1"/>
    <xf numFmtId="0" fontId="21" fillId="14" borderId="0" xfId="0" applyFont="1" applyFill="1" applyBorder="1"/>
    <xf numFmtId="0" fontId="21" fillId="0" borderId="3" xfId="0" applyFont="1" applyBorder="1"/>
    <xf numFmtId="0" fontId="0" fillId="0" borderId="3" xfId="0" applyBorder="1"/>
    <xf numFmtId="0" fontId="0" fillId="8" borderId="1" xfId="0" applyFill="1" applyBorder="1" applyAlignment="1">
      <alignment wrapText="1"/>
    </xf>
    <xf numFmtId="0" fontId="21" fillId="0" borderId="6" xfId="0" applyFont="1" applyBorder="1"/>
    <xf numFmtId="0" fontId="21" fillId="0" borderId="7" xfId="0" applyFont="1" applyBorder="1"/>
    <xf numFmtId="0" fontId="21" fillId="0" borderId="26" xfId="0" applyFont="1" applyBorder="1"/>
    <xf numFmtId="0" fontId="21" fillId="0" borderId="27" xfId="0" applyFont="1" applyBorder="1"/>
    <xf numFmtId="0" fontId="0" fillId="0" borderId="14" xfId="0" applyBorder="1"/>
    <xf numFmtId="165" fontId="0" fillId="0" borderId="12" xfId="0" applyNumberFormat="1" applyFill="1" applyBorder="1"/>
    <xf numFmtId="165" fontId="0" fillId="0" borderId="1" xfId="0" applyNumberFormat="1" applyFill="1" applyBorder="1"/>
    <xf numFmtId="165" fontId="0" fillId="0" borderId="22" xfId="0" applyNumberFormat="1" applyFill="1" applyBorder="1"/>
    <xf numFmtId="165" fontId="0" fillId="0" borderId="22" xfId="0" applyNumberFormat="1" applyBorder="1"/>
    <xf numFmtId="165" fontId="21" fillId="10" borderId="27" xfId="0" applyNumberFormat="1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0" borderId="8" xfId="0" applyBorder="1"/>
    <xf numFmtId="0" fontId="0" fillId="8" borderId="16" xfId="0" applyFill="1" applyBorder="1"/>
    <xf numFmtId="0" fontId="0" fillId="8" borderId="1" xfId="0" applyFill="1" applyBorder="1"/>
    <xf numFmtId="165" fontId="0" fillId="10" borderId="17" xfId="0" applyNumberFormat="1" applyFill="1" applyBorder="1"/>
    <xf numFmtId="0" fontId="0" fillId="0" borderId="37" xfId="0" applyBorder="1"/>
    <xf numFmtId="165" fontId="0" fillId="13" borderId="23" xfId="0" applyNumberFormat="1" applyFill="1" applyBorder="1"/>
    <xf numFmtId="0" fontId="21" fillId="0" borderId="35" xfId="0" applyFont="1" applyBorder="1"/>
    <xf numFmtId="0" fontId="21" fillId="0" borderId="38" xfId="0" applyFont="1" applyBorder="1"/>
    <xf numFmtId="2" fontId="21" fillId="0" borderId="38" xfId="0" applyNumberFormat="1" applyFont="1" applyBorder="1"/>
    <xf numFmtId="2" fontId="21" fillId="0" borderId="8" xfId="0" applyNumberFormat="1" applyFont="1" applyBorder="1"/>
    <xf numFmtId="165" fontId="21" fillId="0" borderId="5" xfId="0" applyNumberFormat="1" applyFont="1" applyBorder="1"/>
    <xf numFmtId="2" fontId="0" fillId="10" borderId="0" xfId="0" applyNumberFormat="1" applyFill="1"/>
    <xf numFmtId="165" fontId="21" fillId="14" borderId="26" xfId="0" applyNumberFormat="1" applyFont="1" applyFill="1" applyBorder="1"/>
    <xf numFmtId="0" fontId="0" fillId="14" borderId="0" xfId="0" applyFill="1"/>
    <xf numFmtId="2" fontId="0" fillId="0" borderId="12" xfId="0" applyNumberFormat="1" applyBorder="1"/>
    <xf numFmtId="2" fontId="0" fillId="0" borderId="14" xfId="0" applyNumberFormat="1" applyBorder="1"/>
    <xf numFmtId="168" fontId="0" fillId="0" borderId="12" xfId="0" applyNumberFormat="1" applyBorder="1"/>
    <xf numFmtId="168" fontId="0" fillId="0" borderId="15" xfId="0" applyNumberFormat="1" applyBorder="1"/>
    <xf numFmtId="2" fontId="0" fillId="0" borderId="22" xfId="0" applyNumberFormat="1" applyBorder="1"/>
    <xf numFmtId="2" fontId="0" fillId="0" borderId="33" xfId="0" applyNumberFormat="1" applyBorder="1"/>
    <xf numFmtId="168" fontId="0" fillId="0" borderId="22" xfId="0" applyNumberFormat="1" applyBorder="1"/>
    <xf numFmtId="168" fontId="0" fillId="0" borderId="24" xfId="0" applyNumberFormat="1" applyBorder="1"/>
    <xf numFmtId="168" fontId="21" fillId="0" borderId="26" xfId="0" applyNumberFormat="1" applyFont="1" applyBorder="1"/>
    <xf numFmtId="0" fontId="21" fillId="0" borderId="11" xfId="0" applyFont="1" applyBorder="1"/>
    <xf numFmtId="0" fontId="0" fillId="0" borderId="13" xfId="0" applyBorder="1"/>
    <xf numFmtId="0" fontId="0" fillId="0" borderId="15" xfId="0" applyBorder="1"/>
    <xf numFmtId="0" fontId="21" fillId="0" borderId="21" xfId="0" applyFont="1" applyBorder="1"/>
    <xf numFmtId="0" fontId="0" fillId="0" borderId="23" xfId="0" applyBorder="1"/>
    <xf numFmtId="0" fontId="0" fillId="0" borderId="40" xfId="0" applyBorder="1"/>
    <xf numFmtId="0" fontId="0" fillId="0" borderId="6" xfId="0" applyBorder="1"/>
    <xf numFmtId="0" fontId="0" fillId="0" borderId="27" xfId="0" applyBorder="1"/>
    <xf numFmtId="0" fontId="21" fillId="14" borderId="9" xfId="0" applyFont="1" applyFill="1" applyBorder="1"/>
    <xf numFmtId="0" fontId="21" fillId="0" borderId="41" xfId="0" applyFont="1" applyBorder="1"/>
    <xf numFmtId="0" fontId="0" fillId="0" borderId="4" xfId="0" applyBorder="1"/>
    <xf numFmtId="2" fontId="0" fillId="0" borderId="31" xfId="0" applyNumberFormat="1" applyBorder="1"/>
    <xf numFmtId="0" fontId="21" fillId="0" borderId="32" xfId="0" applyFont="1" applyBorder="1"/>
    <xf numFmtId="0" fontId="0" fillId="10" borderId="2" xfId="0" applyFill="1" applyBorder="1"/>
    <xf numFmtId="0" fontId="21" fillId="0" borderId="42" xfId="0" applyFont="1" applyBorder="1"/>
    <xf numFmtId="0" fontId="0" fillId="0" borderId="41" xfId="0" applyBorder="1"/>
    <xf numFmtId="4" fontId="0" fillId="0" borderId="4" xfId="0" applyNumberFormat="1" applyBorder="1"/>
    <xf numFmtId="2" fontId="0" fillId="0" borderId="4" xfId="0" applyNumberFormat="1" applyBorder="1"/>
    <xf numFmtId="2" fontId="0" fillId="0" borderId="1" xfId="0" applyNumberFormat="1" applyBorder="1"/>
    <xf numFmtId="0" fontId="0" fillId="10" borderId="17" xfId="0" applyFill="1" applyBorder="1"/>
    <xf numFmtId="3" fontId="0" fillId="0" borderId="1" xfId="0" applyNumberFormat="1" applyBorder="1"/>
    <xf numFmtId="4" fontId="0" fillId="0" borderId="32" xfId="0" applyNumberFormat="1" applyBorder="1"/>
    <xf numFmtId="3" fontId="0" fillId="0" borderId="32" xfId="0" applyNumberFormat="1" applyBorder="1"/>
    <xf numFmtId="2" fontId="0" fillId="0" borderId="2" xfId="0" applyNumberFormat="1" applyBorder="1"/>
    <xf numFmtId="2" fontId="0" fillId="0" borderId="29" xfId="0" applyNumberFormat="1" applyBorder="1"/>
    <xf numFmtId="2" fontId="21" fillId="0" borderId="5" xfId="0" applyNumberFormat="1" applyFont="1" applyBorder="1"/>
    <xf numFmtId="2" fontId="21" fillId="0" borderId="27" xfId="0" applyNumberFormat="1" applyFont="1" applyBorder="1"/>
    <xf numFmtId="2" fontId="0" fillId="10" borderId="1" xfId="0" applyNumberFormat="1" applyFill="1" applyBorder="1"/>
    <xf numFmtId="2" fontId="0" fillId="0" borderId="13" xfId="0" applyNumberFormat="1" applyBorder="1"/>
    <xf numFmtId="2" fontId="0" fillId="0" borderId="15" xfId="0" applyNumberFormat="1" applyBorder="1"/>
    <xf numFmtId="2" fontId="0" fillId="0" borderId="41" xfId="0" applyNumberFormat="1" applyBorder="1"/>
    <xf numFmtId="0" fontId="0" fillId="13" borderId="22" xfId="0" applyFill="1" applyBorder="1"/>
    <xf numFmtId="2" fontId="0" fillId="0" borderId="46" xfId="0" applyNumberFormat="1" applyBorder="1"/>
    <xf numFmtId="2" fontId="0" fillId="0" borderId="47" xfId="0" applyNumberFormat="1" applyBorder="1"/>
    <xf numFmtId="2" fontId="0" fillId="0" borderId="40" xfId="0" applyNumberFormat="1" applyBorder="1"/>
    <xf numFmtId="2" fontId="21" fillId="0" borderId="26" xfId="0" applyNumberFormat="1" applyFont="1" applyBorder="1"/>
    <xf numFmtId="2" fontId="21" fillId="14" borderId="26" xfId="0" applyNumberFormat="1" applyFont="1" applyFill="1" applyBorder="1"/>
    <xf numFmtId="0" fontId="21" fillId="10" borderId="1" xfId="0" applyFont="1" applyFill="1" applyBorder="1"/>
    <xf numFmtId="2" fontId="21" fillId="10" borderId="0" xfId="0" applyNumberFormat="1" applyFont="1" applyFill="1"/>
    <xf numFmtId="0" fontId="21" fillId="10" borderId="0" xfId="0" applyFont="1" applyFill="1"/>
    <xf numFmtId="0" fontId="21" fillId="14" borderId="0" xfId="0" applyFont="1" applyFill="1"/>
    <xf numFmtId="0" fontId="0" fillId="0" borderId="31" xfId="0" applyBorder="1"/>
    <xf numFmtId="0" fontId="0" fillId="0" borderId="29" xfId="0" applyBorder="1"/>
    <xf numFmtId="0" fontId="21" fillId="0" borderId="8" xfId="0" applyFont="1" applyBorder="1"/>
    <xf numFmtId="0" fontId="21" fillId="14" borderId="7" xfId="0" applyFont="1" applyFill="1" applyBorder="1"/>
    <xf numFmtId="0" fontId="21" fillId="14" borderId="25" xfId="0" applyFont="1" applyFill="1" applyBorder="1"/>
    <xf numFmtId="3" fontId="0" fillId="0" borderId="12" xfId="0" applyNumberFormat="1" applyBorder="1"/>
    <xf numFmtId="3" fontId="0" fillId="0" borderId="15" xfId="0" applyNumberFormat="1" applyBorder="1"/>
    <xf numFmtId="3" fontId="0" fillId="0" borderId="4" xfId="0" applyNumberFormat="1" applyBorder="1"/>
    <xf numFmtId="3" fontId="0" fillId="0" borderId="31" xfId="0" applyNumberFormat="1" applyBorder="1"/>
    <xf numFmtId="0" fontId="0" fillId="0" borderId="46" xfId="0" applyBorder="1"/>
    <xf numFmtId="3" fontId="0" fillId="0" borderId="47" xfId="0" applyNumberFormat="1" applyBorder="1"/>
    <xf numFmtId="3" fontId="0" fillId="0" borderId="40" xfId="0" applyNumberFormat="1" applyBorder="1"/>
    <xf numFmtId="0" fontId="0" fillId="0" borderId="48" xfId="0" applyBorder="1"/>
    <xf numFmtId="4" fontId="0" fillId="0" borderId="22" xfId="0" applyNumberFormat="1" applyBorder="1"/>
    <xf numFmtId="2" fontId="21" fillId="14" borderId="27" xfId="0" applyNumberFormat="1" applyFont="1" applyFill="1" applyBorder="1"/>
    <xf numFmtId="0" fontId="0" fillId="0" borderId="35" xfId="0" applyBorder="1"/>
    <xf numFmtId="0" fontId="0" fillId="0" borderId="38" xfId="0" applyBorder="1"/>
    <xf numFmtId="2" fontId="0" fillId="0" borderId="35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0" fontId="0" fillId="8" borderId="0" xfId="0" applyFill="1"/>
    <xf numFmtId="0" fontId="21" fillId="10" borderId="5" xfId="0" applyFont="1" applyFill="1" applyBorder="1"/>
    <xf numFmtId="0" fontId="21" fillId="10" borderId="6" xfId="0" applyFont="1" applyFill="1" applyBorder="1"/>
    <xf numFmtId="0" fontId="21" fillId="10" borderId="7" xfId="0" applyFont="1" applyFill="1" applyBorder="1"/>
    <xf numFmtId="2" fontId="21" fillId="13" borderId="7" xfId="0" applyNumberFormat="1" applyFont="1" applyFill="1" applyBorder="1"/>
    <xf numFmtId="0" fontId="0" fillId="0" borderId="24" xfId="0" applyBorder="1"/>
    <xf numFmtId="0" fontId="21" fillId="0" borderId="52" xfId="0" applyFont="1" applyBorder="1"/>
    <xf numFmtId="0" fontId="21" fillId="0" borderId="39" xfId="0" applyFont="1" applyBorder="1"/>
    <xf numFmtId="0" fontId="0" fillId="0" borderId="52" xfId="0" applyBorder="1"/>
    <xf numFmtId="0" fontId="0" fillId="0" borderId="39" xfId="0" applyBorder="1"/>
    <xf numFmtId="0" fontId="0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3" xfId="0" applyFont="1" applyBorder="1"/>
    <xf numFmtId="0" fontId="0" fillId="0" borderId="15" xfId="0" applyFont="1" applyBorder="1"/>
    <xf numFmtId="0" fontId="21" fillId="0" borderId="29" xfId="0" applyFont="1" applyBorder="1"/>
    <xf numFmtId="0" fontId="21" fillId="14" borderId="26" xfId="0" applyFont="1" applyFill="1" applyBorder="1"/>
    <xf numFmtId="2" fontId="0" fillId="0" borderId="13" xfId="0" applyNumberFormat="1" applyFont="1" applyBorder="1"/>
    <xf numFmtId="4" fontId="21" fillId="0" borderId="6" xfId="0" applyNumberFormat="1" applyFont="1" applyBorder="1"/>
    <xf numFmtId="2" fontId="21" fillId="8" borderId="1" xfId="0" applyNumberFormat="1" applyFont="1" applyFill="1" applyBorder="1"/>
    <xf numFmtId="0" fontId="21" fillId="0" borderId="0" xfId="0" applyFont="1"/>
    <xf numFmtId="2" fontId="0" fillId="0" borderId="52" xfId="0" applyNumberFormat="1" applyBorder="1"/>
    <xf numFmtId="2" fontId="0" fillId="0" borderId="8" xfId="0" applyNumberFormat="1" applyBorder="1"/>
    <xf numFmtId="2" fontId="0" fillId="0" borderId="18" xfId="0" applyNumberFormat="1" applyBorder="1"/>
    <xf numFmtId="0" fontId="0" fillId="0" borderId="53" xfId="0" applyBorder="1"/>
    <xf numFmtId="2" fontId="0" fillId="0" borderId="54" xfId="0" applyNumberFormat="1" applyBorder="1"/>
    <xf numFmtId="2" fontId="0" fillId="0" borderId="3" xfId="0" applyNumberFormat="1" applyBorder="1"/>
    <xf numFmtId="2" fontId="0" fillId="0" borderId="55" xfId="0" applyNumberFormat="1" applyBorder="1"/>
    <xf numFmtId="2" fontId="21" fillId="0" borderId="56" xfId="0" applyNumberFormat="1" applyFont="1" applyBorder="1"/>
    <xf numFmtId="2" fontId="0" fillId="10" borderId="17" xfId="0" applyNumberFormat="1" applyFill="1" applyBorder="1"/>
    <xf numFmtId="4" fontId="21" fillId="14" borderId="6" xfId="0" applyNumberFormat="1" applyFont="1" applyFill="1" applyBorder="1"/>
    <xf numFmtId="2" fontId="21" fillId="14" borderId="5" xfId="0" applyNumberFormat="1" applyFont="1" applyFill="1" applyBorder="1"/>
    <xf numFmtId="2" fontId="0" fillId="0" borderId="19" xfId="0" applyNumberFormat="1" applyBorder="1"/>
    <xf numFmtId="4" fontId="0" fillId="0" borderId="1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167" fontId="0" fillId="10" borderId="0" xfId="0" applyNumberFormat="1" applyFill="1"/>
    <xf numFmtId="0" fontId="21" fillId="0" borderId="54" xfId="0" applyFont="1" applyBorder="1"/>
    <xf numFmtId="2" fontId="21" fillId="0" borderId="29" xfId="0" applyNumberFormat="1" applyFont="1" applyBorder="1"/>
    <xf numFmtId="167" fontId="0" fillId="0" borderId="1" xfId="0" applyNumberFormat="1" applyBorder="1"/>
    <xf numFmtId="169" fontId="0" fillId="0" borderId="19" xfId="0" applyNumberFormat="1" applyBorder="1"/>
    <xf numFmtId="2" fontId="0" fillId="0" borderId="24" xfId="0" applyNumberFormat="1" applyBorder="1"/>
    <xf numFmtId="2" fontId="21" fillId="0" borderId="39" xfId="0" applyNumberFormat="1" applyFont="1" applyBorder="1"/>
    <xf numFmtId="2" fontId="21" fillId="10" borderId="1" xfId="0" applyNumberFormat="1" applyFont="1" applyFill="1" applyBorder="1"/>
    <xf numFmtId="0" fontId="21" fillId="14" borderId="1" xfId="0" applyFont="1" applyFill="1" applyBorder="1"/>
    <xf numFmtId="170" fontId="0" fillId="0" borderId="0" xfId="0" applyNumberFormat="1"/>
    <xf numFmtId="2" fontId="0" fillId="0" borderId="0" xfId="0" applyNumberFormat="1"/>
    <xf numFmtId="2" fontId="21" fillId="0" borderId="0" xfId="0" applyNumberFormat="1" applyFont="1"/>
    <xf numFmtId="165" fontId="0" fillId="0" borderId="0" xfId="0" applyNumberFormat="1"/>
    <xf numFmtId="0" fontId="5" fillId="15" borderId="17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left"/>
    </xf>
    <xf numFmtId="0" fontId="24" fillId="15" borderId="17" xfId="0" applyFont="1" applyFill="1" applyBorder="1" applyAlignment="1">
      <alignment horizontal="left" vertical="center" wrapText="1"/>
    </xf>
    <xf numFmtId="0" fontId="5" fillId="15" borderId="17" xfId="0" applyFont="1" applyFill="1" applyBorder="1" applyAlignment="1">
      <alignment horizontal="left" vertical="center" wrapText="1"/>
    </xf>
    <xf numFmtId="3" fontId="5" fillId="15" borderId="17" xfId="0" applyNumberFormat="1" applyFont="1" applyFill="1" applyBorder="1" applyAlignment="1">
      <alignment horizontal="left"/>
    </xf>
    <xf numFmtId="0" fontId="25" fillId="15" borderId="17" xfId="0" applyFont="1" applyFill="1" applyBorder="1" applyAlignment="1">
      <alignment horizontal="left" vertical="center" wrapText="1"/>
    </xf>
    <xf numFmtId="0" fontId="5" fillId="15" borderId="17" xfId="0" applyFont="1" applyFill="1" applyBorder="1"/>
    <xf numFmtId="0" fontId="0" fillId="16" borderId="1" xfId="0" applyFill="1" applyBorder="1" applyAlignment="1">
      <alignment horizontal="center" vertical="center"/>
    </xf>
    <xf numFmtId="171" fontId="0" fillId="10" borderId="1" xfId="0" applyNumberFormat="1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 wrapText="1"/>
    </xf>
    <xf numFmtId="3" fontId="0" fillId="8" borderId="1" xfId="0" applyNumberFormat="1" applyFont="1" applyFill="1" applyBorder="1" applyAlignment="1">
      <alignment horizontal="left"/>
    </xf>
    <xf numFmtId="3" fontId="23" fillId="8" borderId="1" xfId="0" applyNumberFormat="1" applyFont="1" applyFill="1" applyBorder="1" applyAlignment="1">
      <alignment horizontal="left" vertical="center"/>
    </xf>
    <xf numFmtId="14" fontId="0" fillId="8" borderId="1" xfId="0" applyNumberFormat="1" applyFont="1" applyFill="1" applyBorder="1" applyAlignment="1">
      <alignment horizontal="left"/>
    </xf>
    <xf numFmtId="0" fontId="12" fillId="2" borderId="0" xfId="0" applyFont="1" applyFill="1" applyAlignment="1"/>
    <xf numFmtId="0" fontId="9" fillId="3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9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9" fillId="2" borderId="0" xfId="0" applyFont="1" applyFill="1" applyAlignment="1"/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5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0" fontId="21" fillId="0" borderId="45" xfId="0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370">
    <cellStyle name="20% - Accent1 2" xfId="351"/>
    <cellStyle name="20% - Accent1 2 2" xfId="359"/>
    <cellStyle name="60% - Accent1 2" xfId="362"/>
    <cellStyle name="60% - Énfasis1 2" xfId="361"/>
    <cellStyle name="Comma 2" xfId="350"/>
    <cellStyle name="Comma 2 2" xfId="353"/>
    <cellStyle name="Comma 2 2 2" xfId="360"/>
    <cellStyle name="Comma 3" xfId="363"/>
    <cellStyle name="Currency 2" xfId="355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66" builtinId="8" hidden="1"/>
    <cellStyle name="Hipervínculo" xfId="368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67" builtinId="9" hidden="1"/>
    <cellStyle name="Hipervínculo visitado" xfId="369" builtinId="9" hidden="1"/>
    <cellStyle name="Millares 2" xfId="354"/>
    <cellStyle name="Millares 3" xfId="348"/>
    <cellStyle name="Millares 4" xfId="357"/>
    <cellStyle name="Neutral 2" xfId="364"/>
    <cellStyle name="Normal" xfId="0" builtinId="0"/>
    <cellStyle name="Normal 2" xfId="349"/>
    <cellStyle name="Normal 2 2" xfId="352"/>
    <cellStyle name="Normal 2 2 2" xfId="358"/>
    <cellStyle name="Normal 3" xfId="347"/>
    <cellStyle name="Normal 4" xfId="356"/>
    <cellStyle name="Normálna 2" xfId="36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hilucha\Library\Containers\com.microsoft.Excel\Data\Library\Preferences\AutoRecovery\88355%20pptto%20revisado%20ST-2017-23-11ma_lbb%20(versio&#769;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OMISOS"/>
      <sheetName val="REVISION 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6643ool4WMR056RWNlTGFzdlU" TargetMode="External"/><Relationship Id="rId2" Type="http://schemas.openxmlformats.org/officeDocument/2006/relationships/hyperlink" Target="https://drive.google.com/open?id=0B66643ool4WMalNpUFJiZVIzSTA" TargetMode="External"/><Relationship Id="rId1" Type="http://schemas.openxmlformats.org/officeDocument/2006/relationships/hyperlink" Target="https://drive.google.com/open?id=0B66643ool4WMZHNRQ0taWlVXeW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s://drive.google.com/open?id=0B66643ool4WMRnhtZGJCVVZJOF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B5" zoomScale="70" zoomScaleNormal="70" zoomScalePageLayoutView="70" workbookViewId="0">
      <selection activeCell="F56" sqref="F56"/>
    </sheetView>
  </sheetViews>
  <sheetFormatPr baseColWidth="10" defaultColWidth="11.125" defaultRowHeight="15.75" x14ac:dyDescent="0.25"/>
  <cols>
    <col min="2" max="2" width="35" bestFit="1" customWidth="1"/>
    <col min="3" max="3" width="32.125" customWidth="1"/>
    <col min="5" max="5" width="39.5" bestFit="1" customWidth="1"/>
    <col min="6" max="6" width="13.125" customWidth="1"/>
    <col min="7" max="7" width="13.375" customWidth="1"/>
    <col min="8" max="8" width="13.5" bestFit="1" customWidth="1"/>
    <col min="9" max="9" width="32.875" customWidth="1"/>
    <col min="10" max="10" width="64.125" customWidth="1"/>
  </cols>
  <sheetData>
    <row r="1" spans="1:12" ht="21" x14ac:dyDescent="0.35">
      <c r="A1" s="1" t="s">
        <v>72</v>
      </c>
      <c r="B1" s="1"/>
      <c r="C1" s="1"/>
      <c r="D1" s="1"/>
      <c r="E1" s="1"/>
      <c r="F1" s="1"/>
      <c r="G1" s="1"/>
      <c r="H1" s="1"/>
      <c r="I1" s="1"/>
    </row>
    <row r="2" spans="1:12" x14ac:dyDescent="0.25">
      <c r="A2" s="2"/>
      <c r="B2" s="3"/>
      <c r="C2" s="3"/>
      <c r="D2" s="2"/>
      <c r="E2" s="2"/>
      <c r="F2" s="2"/>
      <c r="G2" s="2"/>
      <c r="H2" s="2"/>
      <c r="I2" s="2"/>
    </row>
    <row r="3" spans="1:12" ht="37.5" x14ac:dyDescent="0.3">
      <c r="A3" s="4"/>
      <c r="B3" s="5" t="s">
        <v>37</v>
      </c>
      <c r="C3" s="5" t="s">
        <v>44</v>
      </c>
      <c r="D3" s="5" t="s">
        <v>75</v>
      </c>
      <c r="E3" s="5" t="s">
        <v>38</v>
      </c>
      <c r="F3" s="324" t="s">
        <v>39</v>
      </c>
      <c r="G3" s="324"/>
      <c r="H3" s="4" t="s">
        <v>40</v>
      </c>
      <c r="I3" s="30" t="s">
        <v>82</v>
      </c>
      <c r="J3" s="5" t="s">
        <v>43</v>
      </c>
    </row>
    <row r="4" spans="1:12" ht="18.75" x14ac:dyDescent="0.3">
      <c r="A4" s="5"/>
      <c r="B4" s="5"/>
      <c r="C4" s="5"/>
      <c r="D4" s="5"/>
      <c r="E4" s="5"/>
      <c r="F4" s="5" t="s">
        <v>41</v>
      </c>
      <c r="G4" s="5" t="s">
        <v>42</v>
      </c>
      <c r="H4" s="5"/>
      <c r="I4" s="5"/>
    </row>
    <row r="5" spans="1:12" x14ac:dyDescent="0.25">
      <c r="A5" s="2"/>
      <c r="B5" s="3"/>
      <c r="C5" s="3"/>
      <c r="D5" s="2"/>
      <c r="E5" s="2"/>
      <c r="F5" s="2"/>
      <c r="G5" s="2"/>
      <c r="H5" s="2"/>
      <c r="I5" s="2"/>
    </row>
    <row r="6" spans="1:12" s="9" customFormat="1" ht="18.75" x14ac:dyDescent="0.3">
      <c r="A6" s="327" t="s">
        <v>84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</row>
    <row r="7" spans="1:12" s="9" customFormat="1" ht="18.75" x14ac:dyDescent="0.3">
      <c r="A7" s="322" t="s">
        <v>92</v>
      </c>
      <c r="B7" s="322"/>
      <c r="C7" s="322"/>
      <c r="D7" s="322"/>
      <c r="E7" s="322"/>
      <c r="F7" s="322"/>
      <c r="G7" s="322"/>
      <c r="H7" s="322"/>
      <c r="I7" s="322"/>
      <c r="J7" s="322"/>
    </row>
    <row r="8" spans="1:12" s="35" customFormat="1" ht="30.75" x14ac:dyDescent="0.3">
      <c r="A8" s="44"/>
      <c r="B8" s="45" t="s">
        <v>85</v>
      </c>
      <c r="C8" s="49" t="s">
        <v>60</v>
      </c>
      <c r="D8" s="46" t="s">
        <v>64</v>
      </c>
      <c r="E8" s="47" t="s">
        <v>15</v>
      </c>
      <c r="F8" s="52">
        <f>1500*3*2</f>
        <v>9000</v>
      </c>
      <c r="G8" s="52"/>
      <c r="H8" s="52">
        <f>SUM(F8:G8)</f>
        <v>9000</v>
      </c>
      <c r="J8" s="51" t="s">
        <v>104</v>
      </c>
      <c r="K8" s="38"/>
      <c r="L8" s="38"/>
    </row>
    <row r="9" spans="1:12" s="43" customFormat="1" ht="18.75" x14ac:dyDescent="0.3">
      <c r="A9" s="44"/>
      <c r="B9" s="50" t="s">
        <v>87</v>
      </c>
      <c r="C9" s="49" t="s">
        <v>60</v>
      </c>
      <c r="D9" s="46" t="s">
        <v>64</v>
      </c>
      <c r="E9" s="47" t="s">
        <v>28</v>
      </c>
      <c r="F9" s="58">
        <v>7000</v>
      </c>
      <c r="H9" s="58">
        <v>7000</v>
      </c>
      <c r="J9" s="51" t="s">
        <v>91</v>
      </c>
    </row>
    <row r="10" spans="1:12" s="43" customFormat="1" ht="30.75" x14ac:dyDescent="0.3">
      <c r="A10" s="44"/>
      <c r="B10" s="45" t="s">
        <v>88</v>
      </c>
      <c r="C10" s="49" t="s">
        <v>60</v>
      </c>
      <c r="D10" s="46" t="s">
        <v>64</v>
      </c>
      <c r="E10" s="47" t="s">
        <v>106</v>
      </c>
      <c r="F10" s="52">
        <v>8000</v>
      </c>
      <c r="G10" s="52"/>
      <c r="H10" s="52">
        <f>SUM(F10:G10)</f>
        <v>8000</v>
      </c>
      <c r="J10" s="51" t="s">
        <v>105</v>
      </c>
    </row>
    <row r="11" spans="1:12" s="7" customFormat="1" ht="30" x14ac:dyDescent="0.25">
      <c r="A11" s="37"/>
      <c r="B11" s="47" t="s">
        <v>89</v>
      </c>
      <c r="C11" s="49" t="s">
        <v>60</v>
      </c>
      <c r="D11" s="46" t="s">
        <v>64</v>
      </c>
      <c r="E11" s="62" t="s">
        <v>16</v>
      </c>
      <c r="F11" s="42">
        <v>1000</v>
      </c>
      <c r="G11" s="52"/>
      <c r="H11" s="42">
        <f>SUM(F11:G11)</f>
        <v>1000</v>
      </c>
      <c r="J11" s="51" t="s">
        <v>101</v>
      </c>
    </row>
    <row r="12" spans="1:12" s="7" customFormat="1" ht="15" x14ac:dyDescent="0.25">
      <c r="A12" s="15"/>
      <c r="B12" s="48" t="s">
        <v>86</v>
      </c>
      <c r="C12" s="49" t="s">
        <v>60</v>
      </c>
      <c r="D12" s="46" t="s">
        <v>64</v>
      </c>
      <c r="E12" s="46" t="s">
        <v>31</v>
      </c>
      <c r="F12" s="42"/>
      <c r="G12" s="42"/>
      <c r="H12" s="42"/>
      <c r="I12" s="51"/>
      <c r="J12" s="54" t="s">
        <v>103</v>
      </c>
    </row>
    <row r="13" spans="1:12" s="11" customFormat="1" x14ac:dyDescent="0.25">
      <c r="A13" s="326" t="s">
        <v>99</v>
      </c>
      <c r="B13" s="326"/>
      <c r="C13" s="326"/>
      <c r="D13" s="326"/>
      <c r="E13" s="326"/>
      <c r="F13" s="41">
        <f>SUM(F8:F12)</f>
        <v>25000</v>
      </c>
      <c r="G13" s="41">
        <f>SUM(G11:G12)</f>
        <v>0</v>
      </c>
      <c r="H13" s="41">
        <f>SUM(H8:H12)</f>
        <v>25000</v>
      </c>
      <c r="I13" s="41"/>
      <c r="J13" s="39"/>
      <c r="K13" s="40"/>
      <c r="L13" s="40"/>
    </row>
    <row r="15" spans="1:12" s="9" customFormat="1" ht="18.75" x14ac:dyDescent="0.3">
      <c r="A15" s="322" t="s">
        <v>96</v>
      </c>
      <c r="B15" s="322"/>
      <c r="C15" s="322"/>
      <c r="D15" s="322"/>
      <c r="E15" s="322"/>
      <c r="F15" s="322"/>
      <c r="G15" s="322"/>
      <c r="H15" s="322"/>
      <c r="I15" s="322"/>
      <c r="J15" s="322"/>
    </row>
    <row r="16" spans="1:12" s="7" customFormat="1" ht="15" x14ac:dyDescent="0.25">
      <c r="A16" s="16"/>
      <c r="B16" s="53" t="s">
        <v>93</v>
      </c>
      <c r="C16" s="59" t="s">
        <v>59</v>
      </c>
      <c r="D16" s="60" t="s">
        <v>64</v>
      </c>
      <c r="E16" s="62" t="s">
        <v>16</v>
      </c>
      <c r="F16" s="28">
        <v>1000</v>
      </c>
      <c r="G16" s="28"/>
      <c r="H16" s="28">
        <f>SUM(F16:G16)</f>
        <v>1000</v>
      </c>
      <c r="I16" s="29"/>
      <c r="J16" s="14"/>
    </row>
    <row r="17" spans="1:10" s="7" customFormat="1" ht="60" x14ac:dyDescent="0.25">
      <c r="A17" s="16"/>
      <c r="B17" s="61" t="s">
        <v>94</v>
      </c>
      <c r="C17" s="59" t="s">
        <v>59</v>
      </c>
      <c r="D17" s="60" t="s">
        <v>64</v>
      </c>
      <c r="E17" s="36" t="s">
        <v>21</v>
      </c>
      <c r="F17" s="28">
        <f>21000</f>
        <v>21000</v>
      </c>
      <c r="G17" s="28"/>
      <c r="H17" s="28">
        <f>SUM(F17:G17)</f>
        <v>21000</v>
      </c>
      <c r="I17" s="29"/>
      <c r="J17" s="54" t="s">
        <v>100</v>
      </c>
    </row>
    <row r="18" spans="1:10" s="7" customFormat="1" ht="15" x14ac:dyDescent="0.25">
      <c r="A18" s="55"/>
      <c r="B18" s="53" t="s">
        <v>88</v>
      </c>
      <c r="C18" s="59" t="s">
        <v>59</v>
      </c>
      <c r="D18" s="60" t="s">
        <v>64</v>
      </c>
      <c r="E18" s="61" t="s">
        <v>90</v>
      </c>
      <c r="F18" s="58"/>
      <c r="G18" s="58"/>
      <c r="H18" s="58">
        <f>SUM(F18:G18)</f>
        <v>0</v>
      </c>
      <c r="I18" s="58"/>
      <c r="J18" s="54"/>
    </row>
    <row r="19" spans="1:10" s="7" customFormat="1" ht="15" x14ac:dyDescent="0.25">
      <c r="A19" s="16"/>
      <c r="B19" s="61" t="s">
        <v>95</v>
      </c>
      <c r="C19" s="59" t="s">
        <v>59</v>
      </c>
      <c r="D19" s="60" t="s">
        <v>64</v>
      </c>
      <c r="E19" s="62" t="s">
        <v>32</v>
      </c>
      <c r="F19" s="28"/>
      <c r="G19" s="28"/>
      <c r="H19" s="28">
        <f>SUM(F19:G19)</f>
        <v>0</v>
      </c>
      <c r="I19" s="29"/>
      <c r="J19" s="54" t="s">
        <v>102</v>
      </c>
    </row>
    <row r="20" spans="1:10" s="7" customFormat="1" ht="15" x14ac:dyDescent="0.25">
      <c r="A20" s="16"/>
      <c r="B20" s="61" t="s">
        <v>86</v>
      </c>
      <c r="C20" s="59" t="s">
        <v>59</v>
      </c>
      <c r="D20" s="60" t="s">
        <v>64</v>
      </c>
      <c r="E20" s="62" t="s">
        <v>31</v>
      </c>
      <c r="F20" s="27"/>
      <c r="G20" s="27"/>
      <c r="H20" s="28">
        <f>SUM(F20:G20)</f>
        <v>0</v>
      </c>
      <c r="I20" s="29"/>
      <c r="J20" s="14" t="s">
        <v>103</v>
      </c>
    </row>
    <row r="21" spans="1:10" s="11" customFormat="1" x14ac:dyDescent="0.25">
      <c r="A21" s="326" t="s">
        <v>97</v>
      </c>
      <c r="B21" s="326"/>
      <c r="C21" s="326"/>
      <c r="D21" s="326"/>
      <c r="E21" s="326"/>
      <c r="F21" s="21">
        <f>SUM(F16:F20)</f>
        <v>22000</v>
      </c>
      <c r="G21" s="21">
        <f>SUM(G16:G20)</f>
        <v>0</v>
      </c>
      <c r="H21" s="21">
        <f>SUM(H16:H20)</f>
        <v>22000</v>
      </c>
      <c r="I21" s="21"/>
      <c r="J21" s="10"/>
    </row>
    <row r="23" spans="1:10" s="9" customFormat="1" ht="18.75" x14ac:dyDescent="0.3">
      <c r="A23" s="325" t="s">
        <v>98</v>
      </c>
      <c r="B23" s="325"/>
      <c r="C23" s="325"/>
      <c r="D23" s="325"/>
      <c r="E23" s="325"/>
      <c r="F23" s="26">
        <f>SUM(F13+F21)</f>
        <v>47000</v>
      </c>
      <c r="G23" s="57">
        <f>SUM(G13+G21)</f>
        <v>0</v>
      </c>
      <c r="H23" s="57">
        <f>SUM(H13+H21)</f>
        <v>47000</v>
      </c>
      <c r="I23" s="24"/>
      <c r="J23" s="23"/>
    </row>
    <row r="24" spans="1:10" ht="22.5" customHeight="1" x14ac:dyDescent="0.25">
      <c r="A24" s="2"/>
      <c r="B24" s="3"/>
      <c r="C24" s="3"/>
      <c r="D24" s="2"/>
      <c r="E24" s="2"/>
      <c r="F24" s="2"/>
      <c r="G24" s="2"/>
      <c r="H24" s="2"/>
      <c r="I24" s="2"/>
      <c r="J24" s="6"/>
    </row>
    <row r="25" spans="1:10" s="7" customFormat="1" ht="15" x14ac:dyDescent="0.25">
      <c r="B25" s="32"/>
      <c r="F25" s="34"/>
      <c r="G25" s="34"/>
      <c r="H25" s="34"/>
      <c r="I25" s="34"/>
      <c r="J25" s="14"/>
    </row>
    <row r="26" spans="1:10" s="13" customFormat="1" ht="21" x14ac:dyDescent="0.35">
      <c r="A26" s="323" t="s">
        <v>68</v>
      </c>
      <c r="B26" s="323"/>
      <c r="C26" s="323"/>
      <c r="D26" s="323"/>
      <c r="E26" s="323"/>
      <c r="F26" s="22">
        <f>SUM(+F23)</f>
        <v>47000</v>
      </c>
      <c r="G26" s="56">
        <f>SUM(+G23)</f>
        <v>0</v>
      </c>
      <c r="H26" s="56">
        <f>SUM(+H23)</f>
        <v>47000</v>
      </c>
      <c r="I26" s="25"/>
      <c r="J26" s="12"/>
    </row>
    <row r="27" spans="1:10" s="7" customFormat="1" ht="15" x14ac:dyDescent="0.25">
      <c r="B27" s="32"/>
      <c r="F27" s="34"/>
      <c r="G27" s="34"/>
      <c r="H27" s="34"/>
      <c r="I27" s="34"/>
      <c r="J27" s="14"/>
    </row>
    <row r="28" spans="1:10" s="7" customFormat="1" ht="15" x14ac:dyDescent="0.25">
      <c r="B28" s="32"/>
      <c r="F28" s="34"/>
      <c r="G28" s="34"/>
      <c r="H28" s="34"/>
      <c r="I28" s="34"/>
      <c r="J28" s="14"/>
    </row>
    <row r="29" spans="1:10" s="13" customFormat="1" ht="21" x14ac:dyDescent="0.35">
      <c r="A29" s="321" t="s">
        <v>83</v>
      </c>
      <c r="B29" s="321"/>
      <c r="C29" s="321"/>
      <c r="D29" s="321"/>
      <c r="E29" s="321"/>
      <c r="F29" s="321"/>
      <c r="G29" s="321"/>
      <c r="H29" s="321"/>
      <c r="I29" s="321"/>
      <c r="J29" s="321"/>
    </row>
    <row r="30" spans="1:10" s="9" customFormat="1" ht="18.75" x14ac:dyDescent="0.3">
      <c r="A30" s="322"/>
      <c r="B30" s="322"/>
      <c r="C30" s="322"/>
      <c r="D30" s="322"/>
      <c r="E30" s="322"/>
      <c r="F30" s="322"/>
      <c r="G30" s="322"/>
      <c r="H30" s="322"/>
      <c r="I30" s="322"/>
      <c r="J30" s="322"/>
    </row>
    <row r="31" spans="1:10" ht="56.25" x14ac:dyDescent="0.3">
      <c r="A31" s="31"/>
      <c r="B31" s="5" t="s">
        <v>37</v>
      </c>
      <c r="C31" s="5" t="s">
        <v>44</v>
      </c>
      <c r="D31" s="5" t="s">
        <v>75</v>
      </c>
      <c r="E31" s="5" t="s">
        <v>38</v>
      </c>
      <c r="F31" s="324" t="s">
        <v>74</v>
      </c>
      <c r="G31" s="324"/>
      <c r="H31" s="31" t="s">
        <v>40</v>
      </c>
      <c r="I31" s="31" t="s">
        <v>82</v>
      </c>
      <c r="J31" s="5" t="s">
        <v>73</v>
      </c>
    </row>
    <row r="32" spans="1:10" ht="18.75" x14ac:dyDescent="0.3">
      <c r="A32" s="31"/>
      <c r="B32" s="5"/>
      <c r="C32" s="5"/>
      <c r="D32" s="5"/>
      <c r="E32" s="5"/>
      <c r="F32" s="31" t="s">
        <v>41</v>
      </c>
      <c r="G32" s="31" t="s">
        <v>42</v>
      </c>
      <c r="H32" s="31"/>
      <c r="I32" s="31"/>
      <c r="J32" s="5"/>
    </row>
    <row r="33" spans="1:10" s="7" customFormat="1" ht="30.75" x14ac:dyDescent="0.3">
      <c r="B33" s="33" t="s">
        <v>81</v>
      </c>
      <c r="C33" s="49" t="s">
        <v>60</v>
      </c>
      <c r="D33" s="60" t="s">
        <v>64</v>
      </c>
      <c r="E33" s="61" t="s">
        <v>15</v>
      </c>
      <c r="F33" s="58">
        <f>1500*3*2</f>
        <v>9000</v>
      </c>
      <c r="G33" s="58"/>
      <c r="H33" s="58">
        <f>SUM(F33:G33)</f>
        <v>9000</v>
      </c>
      <c r="I33" s="43"/>
      <c r="J33" s="54" t="s">
        <v>104</v>
      </c>
    </row>
    <row r="34" spans="1:10" s="7" customFormat="1" ht="18.75" x14ac:dyDescent="0.3">
      <c r="B34" s="53" t="s">
        <v>70</v>
      </c>
      <c r="C34" s="49" t="s">
        <v>60</v>
      </c>
      <c r="D34" s="60" t="s">
        <v>64</v>
      </c>
      <c r="E34" s="61" t="s">
        <v>28</v>
      </c>
      <c r="F34" s="58">
        <v>7000</v>
      </c>
      <c r="G34" s="43"/>
      <c r="H34" s="58">
        <v>7000</v>
      </c>
      <c r="I34" s="43"/>
      <c r="J34" s="54" t="s">
        <v>91</v>
      </c>
    </row>
    <row r="35" spans="1:10" s="7" customFormat="1" ht="30.75" x14ac:dyDescent="0.3">
      <c r="B35" s="33" t="s">
        <v>81</v>
      </c>
      <c r="C35" s="49" t="s">
        <v>60</v>
      </c>
      <c r="D35" s="60" t="s">
        <v>64</v>
      </c>
      <c r="E35" s="61" t="s">
        <v>106</v>
      </c>
      <c r="F35" s="58">
        <v>8000</v>
      </c>
      <c r="G35" s="58"/>
      <c r="H35" s="58">
        <f t="shared" ref="H35:H40" si="0">SUM(F35:G35)</f>
        <v>8000</v>
      </c>
      <c r="I35" s="43"/>
      <c r="J35" s="54" t="s">
        <v>105</v>
      </c>
    </row>
    <row r="36" spans="1:10" s="7" customFormat="1" ht="30" x14ac:dyDescent="0.25">
      <c r="B36" s="61" t="s">
        <v>235</v>
      </c>
      <c r="C36" s="49" t="s">
        <v>60</v>
      </c>
      <c r="D36" s="60" t="s">
        <v>64</v>
      </c>
      <c r="E36" s="62" t="s">
        <v>16</v>
      </c>
      <c r="F36" s="58">
        <v>1000</v>
      </c>
      <c r="G36" s="58"/>
      <c r="H36" s="58">
        <f t="shared" si="0"/>
        <v>1000</v>
      </c>
      <c r="J36" s="54" t="s">
        <v>101</v>
      </c>
    </row>
    <row r="37" spans="1:10" s="7" customFormat="1" ht="15" x14ac:dyDescent="0.25">
      <c r="B37" s="53" t="s">
        <v>235</v>
      </c>
      <c r="C37" s="59" t="s">
        <v>59</v>
      </c>
      <c r="D37" s="60" t="s">
        <v>64</v>
      </c>
      <c r="E37" s="62" t="s">
        <v>16</v>
      </c>
      <c r="F37" s="58">
        <v>1000</v>
      </c>
      <c r="G37" s="58"/>
      <c r="H37" s="58">
        <f t="shared" si="0"/>
        <v>1000</v>
      </c>
      <c r="I37" s="58"/>
      <c r="J37" s="14"/>
    </row>
    <row r="38" spans="1:10" s="7" customFormat="1" ht="60" x14ac:dyDescent="0.25">
      <c r="B38" s="61" t="s">
        <v>236</v>
      </c>
      <c r="C38" s="59" t="s">
        <v>59</v>
      </c>
      <c r="D38" s="60" t="s">
        <v>64</v>
      </c>
      <c r="E38" s="36" t="s">
        <v>21</v>
      </c>
      <c r="F38" s="58">
        <f>21000</f>
        <v>21000</v>
      </c>
      <c r="G38" s="58"/>
      <c r="H38" s="58">
        <f t="shared" si="0"/>
        <v>21000</v>
      </c>
      <c r="I38" s="58"/>
      <c r="J38" s="54" t="s">
        <v>100</v>
      </c>
    </row>
    <row r="39" spans="1:10" s="7" customFormat="1" ht="15" x14ac:dyDescent="0.25">
      <c r="B39" s="33" t="s">
        <v>81</v>
      </c>
      <c r="C39" s="59" t="s">
        <v>59</v>
      </c>
      <c r="D39" s="60" t="s">
        <v>64</v>
      </c>
      <c r="E39" s="61" t="s">
        <v>90</v>
      </c>
      <c r="F39" s="58"/>
      <c r="G39" s="58"/>
      <c r="H39" s="58">
        <f t="shared" si="0"/>
        <v>0</v>
      </c>
      <c r="I39" s="58"/>
      <c r="J39" s="54"/>
    </row>
    <row r="40" spans="1:10" s="7" customFormat="1" ht="15" x14ac:dyDescent="0.25">
      <c r="B40" s="61" t="s">
        <v>237</v>
      </c>
      <c r="C40" s="59" t="s">
        <v>59</v>
      </c>
      <c r="D40" s="60" t="s">
        <v>64</v>
      </c>
      <c r="E40" s="62" t="s">
        <v>32</v>
      </c>
      <c r="F40" s="58"/>
      <c r="G40" s="58"/>
      <c r="H40" s="58">
        <f t="shared" si="0"/>
        <v>0</v>
      </c>
      <c r="I40" s="58"/>
      <c r="J40" s="54" t="s">
        <v>102</v>
      </c>
    </row>
    <row r="41" spans="1:10" s="7" customFormat="1" ht="15" x14ac:dyDescent="0.25">
      <c r="B41" s="32"/>
      <c r="F41" s="34"/>
      <c r="G41" s="34"/>
      <c r="H41" s="34"/>
      <c r="I41" s="34"/>
      <c r="J41" s="14"/>
    </row>
    <row r="42" spans="1:10" s="7" customFormat="1" ht="15" x14ac:dyDescent="0.25">
      <c r="B42" s="32"/>
      <c r="F42" s="28"/>
      <c r="G42" s="28"/>
      <c r="H42" s="34"/>
      <c r="I42" s="29"/>
      <c r="J42" s="14"/>
    </row>
    <row r="43" spans="1:10" x14ac:dyDescent="0.25">
      <c r="H43" s="34">
        <f t="shared" ref="H43" si="1">SUM(F43:G43)</f>
        <v>0</v>
      </c>
    </row>
    <row r="44" spans="1:10" s="9" customFormat="1" ht="18.75" x14ac:dyDescent="0.3">
      <c r="A44" s="325" t="s">
        <v>71</v>
      </c>
      <c r="B44" s="325"/>
      <c r="C44" s="325"/>
      <c r="D44" s="325"/>
      <c r="E44" s="325"/>
      <c r="F44" s="26">
        <f>SUM(F33:F43)</f>
        <v>47000</v>
      </c>
      <c r="G44" s="26">
        <f>SUM(G33:G43)</f>
        <v>0</v>
      </c>
      <c r="H44" s="26">
        <f>SUM(H33:H43)</f>
        <v>47000</v>
      </c>
      <c r="I44" s="24"/>
      <c r="J44" s="23"/>
    </row>
    <row r="45" spans="1:10" s="13" customFormat="1" ht="21" x14ac:dyDescent="0.35">
      <c r="A45" s="17"/>
      <c r="B45" s="18"/>
      <c r="C45" s="18"/>
      <c r="D45" s="17"/>
      <c r="E45" s="17"/>
      <c r="F45" s="17"/>
      <c r="G45" s="17"/>
      <c r="H45" s="17"/>
      <c r="I45" s="17"/>
      <c r="J45" s="19"/>
    </row>
    <row r="46" spans="1:10" s="13" customFormat="1" ht="21" x14ac:dyDescent="0.35">
      <c r="A46" s="17"/>
      <c r="B46" s="18"/>
      <c r="C46" s="18"/>
      <c r="D46" s="17"/>
      <c r="E46" s="17"/>
      <c r="F46" s="17"/>
      <c r="G46" s="17"/>
      <c r="H46" s="17"/>
      <c r="I46" s="17"/>
      <c r="J46" s="19"/>
    </row>
    <row r="47" spans="1:10" s="13" customFormat="1" ht="21" x14ac:dyDescent="0.35">
      <c r="A47" s="17"/>
      <c r="B47" s="18"/>
      <c r="C47" s="18"/>
      <c r="D47" s="17"/>
      <c r="E47" s="17"/>
      <c r="F47" s="17"/>
      <c r="G47" s="17"/>
      <c r="H47" s="17"/>
      <c r="I47" s="17"/>
      <c r="J47" s="19"/>
    </row>
    <row r="48" spans="1:10" s="13" customFormat="1" ht="21" x14ac:dyDescent="0.35">
      <c r="A48" s="17"/>
      <c r="B48" s="18"/>
      <c r="C48" s="18"/>
      <c r="D48" s="17"/>
      <c r="E48" s="17"/>
      <c r="F48" s="17"/>
      <c r="G48" s="17"/>
      <c r="H48" s="17"/>
      <c r="I48" s="17"/>
      <c r="J48" s="19"/>
    </row>
    <row r="49" spans="1:10" s="13" customFormat="1" ht="21" x14ac:dyDescent="0.35">
      <c r="A49" s="17"/>
      <c r="B49" s="18"/>
      <c r="C49" s="18"/>
      <c r="D49" s="17"/>
      <c r="E49" s="17"/>
      <c r="F49" s="17"/>
      <c r="G49" s="17"/>
      <c r="H49" s="17"/>
      <c r="I49" s="17"/>
      <c r="J49" s="19"/>
    </row>
    <row r="50" spans="1:10" s="13" customFormat="1" ht="21" x14ac:dyDescent="0.35">
      <c r="A50" s="17"/>
      <c r="B50" s="18"/>
      <c r="C50" s="18"/>
      <c r="D50" s="17"/>
      <c r="E50" s="17"/>
      <c r="F50" s="17"/>
      <c r="G50" s="17"/>
      <c r="H50" s="17"/>
      <c r="I50" s="17"/>
      <c r="J50" s="19"/>
    </row>
    <row r="51" spans="1:10" s="13" customFormat="1" ht="21" x14ac:dyDescent="0.35">
      <c r="F51" s="20"/>
      <c r="G51" s="20"/>
      <c r="H51" s="20"/>
      <c r="I51" s="20"/>
      <c r="J51" s="19"/>
    </row>
    <row r="52" spans="1:10" x14ac:dyDescent="0.25">
      <c r="F52" s="8"/>
      <c r="G52" s="8"/>
      <c r="H52" s="8"/>
      <c r="I52" s="8"/>
      <c r="J52" s="6"/>
    </row>
    <row r="53" spans="1:10" x14ac:dyDescent="0.25">
      <c r="F53" s="8"/>
      <c r="G53" s="8"/>
      <c r="H53" s="8"/>
      <c r="I53" s="8"/>
      <c r="J53" s="6"/>
    </row>
    <row r="54" spans="1:10" x14ac:dyDescent="0.25">
      <c r="J54" s="6"/>
    </row>
    <row r="55" spans="1:10" x14ac:dyDescent="0.25">
      <c r="J55" s="6"/>
    </row>
    <row r="56" spans="1:10" x14ac:dyDescent="0.25">
      <c r="J56" s="6"/>
    </row>
  </sheetData>
  <sheetProtection insertRows="0" deleteRows="0" selectLockedCells="1"/>
  <mergeCells count="12">
    <mergeCell ref="A15:J15"/>
    <mergeCell ref="A13:E13"/>
    <mergeCell ref="A21:E21"/>
    <mergeCell ref="A23:E23"/>
    <mergeCell ref="F3:G3"/>
    <mergeCell ref="A7:J7"/>
    <mergeCell ref="A6:L6"/>
    <mergeCell ref="A29:J29"/>
    <mergeCell ref="A30:J30"/>
    <mergeCell ref="A26:E26"/>
    <mergeCell ref="F31:G31"/>
    <mergeCell ref="A44:E44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'Workplan Data'!$A$1:$A$37</xm:f>
          </x14:formula1>
          <xm:sqref>E19:E20 E27:E28 E11:E12 E25 E16:E17 E36:E38 E40:E42</xm:sqref>
        </x14:dataValidation>
        <x14:dataValidation type="list" allowBlank="1" showInputMessage="1" showErrorMessage="1">
          <x14:formula1>
            <xm:f>'Workplan Data'!$E$1:$E$4</xm:f>
          </x14:formula1>
          <xm:sqref>D27:D28 D25</xm:sqref>
        </x14:dataValidation>
        <x14:dataValidation type="list" allowBlank="1" showInputMessage="1" showErrorMessage="1">
          <x14:formula1>
            <xm:f>'Workplan Data'!$C$1:$C$20</xm:f>
          </x14:formula1>
          <xm:sqref>C11:C12 C27:C28 C16:C20 C25 C36:C42</xm:sqref>
        </x14:dataValidation>
        <x14:dataValidation type="list" allowBlank="1" showInputMessage="1" showErrorMessage="1">
          <x14:formula1>
            <xm:f>'Workplan Data'!$G$1:$G$5</xm:f>
          </x14:formula1>
          <xm:sqref>D11:D12 D19:D20 D16:D17 D36:D38 D40:D43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workbookViewId="0"/>
  </sheetViews>
  <sheetFormatPr baseColWidth="10" defaultRowHeight="15.75" x14ac:dyDescent="0.25"/>
  <cols>
    <col min="1" max="1" width="9.125" style="63" customWidth="1"/>
    <col min="2" max="2" width="10.875" style="63"/>
    <col min="5" max="5" width="35.5" customWidth="1"/>
    <col min="9" max="10" width="13.875" customWidth="1"/>
  </cols>
  <sheetData>
    <row r="1" spans="1:13" x14ac:dyDescent="0.25">
      <c r="E1" s="64"/>
    </row>
    <row r="2" spans="1:13" ht="45" x14ac:dyDescent="0.25">
      <c r="A2" s="65" t="s">
        <v>107</v>
      </c>
      <c r="B2" s="65" t="s">
        <v>108</v>
      </c>
      <c r="C2" s="66" t="s">
        <v>109</v>
      </c>
      <c r="D2" s="67" t="s">
        <v>110</v>
      </c>
      <c r="E2" s="66" t="s">
        <v>111</v>
      </c>
      <c r="F2" s="66" t="s">
        <v>112</v>
      </c>
      <c r="G2" s="67" t="s">
        <v>113</v>
      </c>
      <c r="H2" s="67" t="s">
        <v>114</v>
      </c>
      <c r="I2" s="67" t="s">
        <v>115</v>
      </c>
      <c r="J2" s="67" t="s">
        <v>116</v>
      </c>
      <c r="K2" s="68" t="s">
        <v>117</v>
      </c>
      <c r="L2" s="66" t="s">
        <v>118</v>
      </c>
      <c r="M2" s="66" t="s">
        <v>119</v>
      </c>
    </row>
    <row r="3" spans="1:13" ht="31.5" x14ac:dyDescent="0.25">
      <c r="A3" s="69">
        <v>41</v>
      </c>
      <c r="B3" s="70">
        <v>71300</v>
      </c>
      <c r="C3" s="71">
        <v>1.2</v>
      </c>
      <c r="D3" s="72" t="s">
        <v>121</v>
      </c>
      <c r="E3" s="73" t="s">
        <v>122</v>
      </c>
      <c r="F3" s="72" t="s">
        <v>123</v>
      </c>
      <c r="G3" s="74">
        <v>11076.923076923076</v>
      </c>
      <c r="H3" s="72">
        <v>2773.33</v>
      </c>
      <c r="I3" s="72">
        <v>2753.56</v>
      </c>
      <c r="J3" s="72">
        <v>2779.49</v>
      </c>
      <c r="K3" s="75">
        <f>(8303.59307692308)-I3-J3</f>
        <v>2770.5430769230807</v>
      </c>
      <c r="L3" s="76" t="s">
        <v>124</v>
      </c>
      <c r="M3" s="76">
        <v>43036</v>
      </c>
    </row>
    <row r="4" spans="1:13" ht="31.5" x14ac:dyDescent="0.25">
      <c r="A4" s="69">
        <v>41</v>
      </c>
      <c r="B4" s="77">
        <v>75700</v>
      </c>
      <c r="C4" s="71">
        <v>1.2</v>
      </c>
      <c r="D4" s="78" t="s">
        <v>126</v>
      </c>
      <c r="E4" s="73" t="s">
        <v>127</v>
      </c>
      <c r="F4" s="74" t="s">
        <v>128</v>
      </c>
      <c r="G4" s="74"/>
      <c r="H4" s="74"/>
      <c r="I4" s="79"/>
      <c r="J4" s="79"/>
      <c r="K4" s="75">
        <v>203</v>
      </c>
      <c r="L4" s="80"/>
      <c r="M4" s="78"/>
    </row>
    <row r="5" spans="1:13" x14ac:dyDescent="0.25">
      <c r="A5" s="69">
        <v>41</v>
      </c>
      <c r="B5" s="70">
        <v>74500</v>
      </c>
      <c r="C5" s="71" t="s">
        <v>129</v>
      </c>
      <c r="D5" s="72" t="s">
        <v>121</v>
      </c>
      <c r="E5" s="73" t="s">
        <v>130</v>
      </c>
      <c r="F5" s="72" t="s">
        <v>131</v>
      </c>
      <c r="G5" s="74"/>
      <c r="H5" s="74"/>
      <c r="I5" s="72"/>
      <c r="J5" s="72"/>
      <c r="K5" s="75">
        <f>700/3.25</f>
        <v>215.38461538461539</v>
      </c>
      <c r="L5" s="76"/>
      <c r="M5" s="76"/>
    </row>
    <row r="6" spans="1:13" ht="78.75" x14ac:dyDescent="0.25">
      <c r="A6" s="69">
        <v>41</v>
      </c>
      <c r="B6" s="70">
        <v>71300</v>
      </c>
      <c r="C6" s="71">
        <v>1.2</v>
      </c>
      <c r="D6" s="72" t="s">
        <v>121</v>
      </c>
      <c r="E6" s="81" t="s">
        <v>132</v>
      </c>
      <c r="F6" s="82" t="s">
        <v>123</v>
      </c>
      <c r="G6" s="83">
        <v>6000</v>
      </c>
      <c r="H6" s="74"/>
      <c r="I6" s="84"/>
      <c r="J6" s="84"/>
      <c r="K6" s="75">
        <v>2000</v>
      </c>
      <c r="L6" s="76">
        <v>43020</v>
      </c>
      <c r="M6" s="76">
        <v>43100</v>
      </c>
    </row>
    <row r="7" spans="1:13" ht="47.25" x14ac:dyDescent="0.25">
      <c r="A7" s="85">
        <v>551</v>
      </c>
      <c r="B7" s="70">
        <v>71300</v>
      </c>
      <c r="C7" s="71">
        <v>1.2</v>
      </c>
      <c r="D7" s="72" t="s">
        <v>121</v>
      </c>
      <c r="E7" s="73" t="s">
        <v>133</v>
      </c>
      <c r="F7" s="72" t="s">
        <v>123</v>
      </c>
      <c r="G7" s="74">
        <v>3692.3076923076924</v>
      </c>
      <c r="H7" s="86">
        <v>926.5</v>
      </c>
      <c r="I7" s="72">
        <v>917.85</v>
      </c>
      <c r="J7" s="72"/>
      <c r="K7" s="75">
        <v>1845</v>
      </c>
      <c r="L7" s="76"/>
      <c r="M7" s="76" t="s">
        <v>125</v>
      </c>
    </row>
    <row r="8" spans="1:13" ht="78.75" x14ac:dyDescent="0.25">
      <c r="A8" s="85">
        <v>551</v>
      </c>
      <c r="B8" s="70">
        <v>71300</v>
      </c>
      <c r="C8" s="71">
        <v>1.2</v>
      </c>
      <c r="D8" s="72" t="s">
        <v>121</v>
      </c>
      <c r="E8" s="81" t="s">
        <v>132</v>
      </c>
      <c r="F8" s="87"/>
      <c r="G8" s="88"/>
      <c r="H8" s="74"/>
      <c r="I8" s="84"/>
      <c r="J8" s="84"/>
      <c r="K8" s="75">
        <v>4000</v>
      </c>
      <c r="L8" s="76"/>
      <c r="M8" s="76"/>
    </row>
    <row r="9" spans="1:13" ht="78.75" x14ac:dyDescent="0.25">
      <c r="A9" s="69">
        <v>41</v>
      </c>
      <c r="B9" s="77">
        <v>71300</v>
      </c>
      <c r="C9" s="71">
        <v>2.2000000000000002</v>
      </c>
      <c r="D9" s="78" t="s">
        <v>126</v>
      </c>
      <c r="E9" s="73" t="s">
        <v>134</v>
      </c>
      <c r="F9" s="74" t="s">
        <v>123</v>
      </c>
      <c r="G9" s="74">
        <v>2769.2307692307691</v>
      </c>
      <c r="H9" s="74">
        <v>917.85</v>
      </c>
      <c r="I9" s="74">
        <v>917.85</v>
      </c>
      <c r="J9" s="74"/>
      <c r="K9" s="75">
        <f>G9-H9-I9</f>
        <v>933.53076923076912</v>
      </c>
      <c r="L9" s="80">
        <v>42743</v>
      </c>
      <c r="M9" s="78" t="s">
        <v>135</v>
      </c>
    </row>
    <row r="10" spans="1:13" ht="16.5" x14ac:dyDescent="0.25">
      <c r="A10" s="69">
        <v>41</v>
      </c>
      <c r="B10" s="77">
        <v>72500</v>
      </c>
      <c r="C10" s="71">
        <v>2.2000000000000002</v>
      </c>
      <c r="D10" s="78" t="s">
        <v>126</v>
      </c>
      <c r="E10" s="73" t="s">
        <v>136</v>
      </c>
      <c r="F10" s="78" t="s">
        <v>131</v>
      </c>
      <c r="G10" s="74"/>
      <c r="H10" s="74"/>
      <c r="I10" s="89"/>
      <c r="J10" s="89"/>
      <c r="K10" s="75">
        <v>150</v>
      </c>
      <c r="L10" s="90"/>
      <c r="M10" s="78"/>
    </row>
    <row r="11" spans="1:13" ht="31.5" x14ac:dyDescent="0.25">
      <c r="A11" s="69">
        <v>41</v>
      </c>
      <c r="B11" s="77">
        <v>74500</v>
      </c>
      <c r="C11" s="71">
        <v>2.2000000000000002</v>
      </c>
      <c r="D11" s="78" t="s">
        <v>126</v>
      </c>
      <c r="E11" s="73" t="s">
        <v>137</v>
      </c>
      <c r="F11" s="74"/>
      <c r="G11" s="74"/>
      <c r="H11" s="74"/>
      <c r="I11" s="79">
        <v>246.11</v>
      </c>
      <c r="J11" s="79"/>
      <c r="K11" s="75">
        <v>120</v>
      </c>
      <c r="L11" s="80"/>
      <c r="M11" s="78"/>
    </row>
    <row r="12" spans="1:13" ht="16.5" x14ac:dyDescent="0.25">
      <c r="A12" s="69">
        <v>41</v>
      </c>
      <c r="B12" s="77">
        <v>75700</v>
      </c>
      <c r="C12" s="71">
        <v>2.2000000000000002</v>
      </c>
      <c r="D12" s="78" t="s">
        <v>126</v>
      </c>
      <c r="E12" s="73" t="s">
        <v>138</v>
      </c>
      <c r="F12" s="78" t="s">
        <v>123</v>
      </c>
      <c r="G12" s="74">
        <v>738.46153846153845</v>
      </c>
      <c r="H12" s="74"/>
      <c r="I12" s="89"/>
      <c r="J12" s="89"/>
      <c r="K12" s="75">
        <f>738.461538461538+77.23</f>
        <v>815.69153846153802</v>
      </c>
      <c r="L12" s="78"/>
      <c r="M12" s="78"/>
    </row>
    <row r="13" spans="1:13" ht="47.25" x14ac:dyDescent="0.25">
      <c r="A13" s="85">
        <v>551</v>
      </c>
      <c r="B13" s="77">
        <v>74200</v>
      </c>
      <c r="C13" s="71">
        <v>2.2000000000000002</v>
      </c>
      <c r="D13" s="78" t="s">
        <v>126</v>
      </c>
      <c r="E13" s="73" t="s">
        <v>139</v>
      </c>
      <c r="F13" s="74" t="s">
        <v>128</v>
      </c>
      <c r="G13" s="74"/>
      <c r="H13" s="74"/>
      <c r="I13" s="79"/>
      <c r="J13" s="79"/>
      <c r="K13" s="75">
        <f>365+500</f>
        <v>865</v>
      </c>
      <c r="L13" s="80"/>
      <c r="M13" s="78"/>
    </row>
    <row r="14" spans="1:13" ht="63" x14ac:dyDescent="0.25">
      <c r="A14" s="85">
        <v>551</v>
      </c>
      <c r="B14" s="77">
        <v>75700</v>
      </c>
      <c r="C14" s="71">
        <v>2.2000000000000002</v>
      </c>
      <c r="D14" s="78" t="s">
        <v>126</v>
      </c>
      <c r="E14" s="73" t="s">
        <v>140</v>
      </c>
      <c r="F14" s="78" t="s">
        <v>141</v>
      </c>
      <c r="G14" s="74">
        <v>4323.0769230769229</v>
      </c>
      <c r="H14" s="74"/>
      <c r="I14" s="89"/>
      <c r="J14" s="89"/>
      <c r="K14" s="75">
        <v>4323.0769230769229</v>
      </c>
      <c r="L14" s="90" t="s">
        <v>142</v>
      </c>
      <c r="M14" s="78" t="s">
        <v>143</v>
      </c>
    </row>
    <row r="15" spans="1:13" ht="31.5" x14ac:dyDescent="0.25">
      <c r="A15" s="69">
        <v>41</v>
      </c>
      <c r="B15" s="77">
        <v>71600</v>
      </c>
      <c r="C15" s="71">
        <v>3.2</v>
      </c>
      <c r="D15" s="78" t="s">
        <v>126</v>
      </c>
      <c r="E15" s="73" t="s">
        <v>144</v>
      </c>
      <c r="F15" s="74" t="s">
        <v>128</v>
      </c>
      <c r="G15" s="74"/>
      <c r="H15" s="74"/>
      <c r="I15" s="79"/>
      <c r="J15" s="79"/>
      <c r="K15" s="75">
        <v>236</v>
      </c>
      <c r="L15" s="80"/>
      <c r="M15" s="78"/>
    </row>
    <row r="16" spans="1:13" ht="16.5" x14ac:dyDescent="0.25">
      <c r="A16" s="69">
        <v>41</v>
      </c>
      <c r="B16" s="77">
        <v>74500</v>
      </c>
      <c r="C16" s="71">
        <v>3.2</v>
      </c>
      <c r="D16" s="78" t="s">
        <v>126</v>
      </c>
      <c r="E16" s="73" t="s">
        <v>145</v>
      </c>
      <c r="F16" s="74" t="s">
        <v>146</v>
      </c>
      <c r="G16" s="74"/>
      <c r="H16" s="74"/>
      <c r="I16" s="79">
        <v>190.15</v>
      </c>
      <c r="J16" s="79"/>
      <c r="K16" s="75">
        <v>410</v>
      </c>
      <c r="L16" s="80"/>
      <c r="M16" s="78"/>
    </row>
    <row r="17" spans="1:13" ht="31.5" x14ac:dyDescent="0.25">
      <c r="A17" s="69">
        <v>41</v>
      </c>
      <c r="B17" s="91">
        <v>75700</v>
      </c>
      <c r="C17" s="92">
        <v>3.2</v>
      </c>
      <c r="D17" s="93" t="s">
        <v>126</v>
      </c>
      <c r="E17" s="94" t="s">
        <v>147</v>
      </c>
      <c r="F17" s="78"/>
      <c r="G17" s="74"/>
      <c r="H17" s="74"/>
      <c r="I17" s="89"/>
      <c r="J17" s="89"/>
      <c r="K17" s="75">
        <v>700</v>
      </c>
      <c r="L17" s="78"/>
      <c r="M17" s="78"/>
    </row>
    <row r="18" spans="1:13" ht="16.5" x14ac:dyDescent="0.25">
      <c r="A18" s="69">
        <v>41</v>
      </c>
      <c r="B18" s="77">
        <v>75700</v>
      </c>
      <c r="C18" s="71">
        <v>3.2</v>
      </c>
      <c r="D18" s="78" t="s">
        <v>126</v>
      </c>
      <c r="E18" s="73" t="s">
        <v>148</v>
      </c>
      <c r="F18" s="78" t="s">
        <v>123</v>
      </c>
      <c r="G18" s="74">
        <v>388.30769230769232</v>
      </c>
      <c r="H18" s="74"/>
      <c r="I18" s="89"/>
      <c r="J18" s="89"/>
      <c r="K18" s="75">
        <f>388.307692307692</f>
        <v>388.30769230769198</v>
      </c>
      <c r="L18" s="78"/>
      <c r="M18" s="78"/>
    </row>
    <row r="19" spans="1:13" ht="16.5" x14ac:dyDescent="0.25">
      <c r="A19" s="85">
        <v>551</v>
      </c>
      <c r="B19" s="77">
        <v>72300</v>
      </c>
      <c r="C19" s="71">
        <v>3.2</v>
      </c>
      <c r="D19" s="78" t="s">
        <v>126</v>
      </c>
      <c r="E19" s="73" t="s">
        <v>149</v>
      </c>
      <c r="F19" s="78" t="s">
        <v>146</v>
      </c>
      <c r="G19" s="74"/>
      <c r="H19" s="74"/>
      <c r="I19" s="89"/>
      <c r="J19" s="89"/>
      <c r="K19" s="75">
        <f>790+500</f>
        <v>1290</v>
      </c>
      <c r="L19" s="78"/>
      <c r="M19" s="78"/>
    </row>
    <row r="20" spans="1:13" ht="78.75" x14ac:dyDescent="0.25">
      <c r="A20" s="85">
        <v>551</v>
      </c>
      <c r="B20" s="77">
        <v>75700</v>
      </c>
      <c r="C20" s="71">
        <v>3.2</v>
      </c>
      <c r="D20" s="78" t="s">
        <v>126</v>
      </c>
      <c r="E20" s="73" t="s">
        <v>150</v>
      </c>
      <c r="F20" s="78" t="s">
        <v>123</v>
      </c>
      <c r="G20" s="74">
        <v>3692.3076923076924</v>
      </c>
      <c r="H20" s="74">
        <v>917.85</v>
      </c>
      <c r="I20" s="74">
        <v>917.85</v>
      </c>
      <c r="J20" s="74"/>
      <c r="K20" s="75">
        <f>G20-H20-I20</f>
        <v>1856.6076923076926</v>
      </c>
      <c r="L20" s="78" t="s">
        <v>151</v>
      </c>
      <c r="M20" s="78" t="s">
        <v>152</v>
      </c>
    </row>
    <row r="21" spans="1:13" ht="16.5" x14ac:dyDescent="0.25">
      <c r="A21" s="85">
        <v>551</v>
      </c>
      <c r="B21" s="77">
        <v>75700</v>
      </c>
      <c r="C21" s="71">
        <v>3.2</v>
      </c>
      <c r="D21" s="78" t="s">
        <v>126</v>
      </c>
      <c r="E21" s="73" t="s">
        <v>153</v>
      </c>
      <c r="F21" s="78"/>
      <c r="G21" s="74"/>
      <c r="H21" s="74"/>
      <c r="I21" s="89"/>
      <c r="J21" s="89"/>
      <c r="K21" s="75">
        <v>3500</v>
      </c>
      <c r="L21" s="78"/>
      <c r="M21" s="78"/>
    </row>
    <row r="22" spans="1:13" s="256" customFormat="1" x14ac:dyDescent="0.25">
      <c r="A22" s="314">
        <v>41</v>
      </c>
      <c r="B22" s="65">
        <v>74200</v>
      </c>
      <c r="C22" s="315" t="s">
        <v>154</v>
      </c>
      <c r="D22" s="316" t="s">
        <v>121</v>
      </c>
      <c r="E22" s="317" t="s">
        <v>155</v>
      </c>
      <c r="F22" s="316" t="s">
        <v>123</v>
      </c>
      <c r="G22" s="318">
        <v>3000</v>
      </c>
      <c r="H22" s="318"/>
      <c r="I22" s="316"/>
      <c r="J22" s="316"/>
      <c r="K22" s="319">
        <f>G22</f>
        <v>3000</v>
      </c>
      <c r="L22" s="320">
        <v>43007</v>
      </c>
      <c r="M22" s="320"/>
    </row>
    <row r="23" spans="1:13" ht="31.5" customHeight="1" x14ac:dyDescent="0.25">
      <c r="A23" s="95">
        <v>551</v>
      </c>
      <c r="B23" s="331">
        <v>72100</v>
      </c>
      <c r="C23" s="334">
        <v>5.2</v>
      </c>
      <c r="D23" s="337" t="s">
        <v>121</v>
      </c>
      <c r="E23" s="328" t="s">
        <v>156</v>
      </c>
      <c r="F23" s="331" t="s">
        <v>123</v>
      </c>
      <c r="G23" s="96"/>
      <c r="H23" s="96"/>
      <c r="I23" s="313">
        <v>6944.2036569599204</v>
      </c>
      <c r="J23" s="97"/>
      <c r="K23" s="75">
        <f>I23</f>
        <v>6944.2036569599204</v>
      </c>
      <c r="L23" s="98" t="s">
        <v>157</v>
      </c>
      <c r="M23" s="98" t="s">
        <v>158</v>
      </c>
    </row>
    <row r="24" spans="1:13" ht="31.5" x14ac:dyDescent="0.25">
      <c r="A24" s="95">
        <v>551</v>
      </c>
      <c r="B24" s="332"/>
      <c r="C24" s="335"/>
      <c r="D24" s="338"/>
      <c r="E24" s="329"/>
      <c r="F24" s="332"/>
      <c r="G24" s="96"/>
      <c r="H24" s="96"/>
      <c r="I24" s="313">
        <v>6944.2036569599204</v>
      </c>
      <c r="J24" s="97"/>
      <c r="K24" s="75">
        <f>I24</f>
        <v>6944.2036569599204</v>
      </c>
      <c r="L24" s="98" t="s">
        <v>157</v>
      </c>
      <c r="M24" s="98" t="s">
        <v>158</v>
      </c>
    </row>
    <row r="25" spans="1:13" x14ac:dyDescent="0.25">
      <c r="A25" s="69">
        <v>41</v>
      </c>
      <c r="B25" s="332"/>
      <c r="C25" s="335"/>
      <c r="D25" s="338"/>
      <c r="E25" s="329"/>
      <c r="F25" s="332"/>
      <c r="G25" s="96"/>
      <c r="H25" s="96"/>
      <c r="I25" s="313">
        <v>6944.2036569599204</v>
      </c>
      <c r="J25" s="97"/>
      <c r="K25" s="75">
        <f t="shared" ref="K25:K27" si="0">I25</f>
        <v>6944.2036569599204</v>
      </c>
      <c r="L25" s="96"/>
      <c r="M25" s="96" t="s">
        <v>214</v>
      </c>
    </row>
    <row r="26" spans="1:13" x14ac:dyDescent="0.25">
      <c r="A26" s="69">
        <v>41</v>
      </c>
      <c r="B26" s="332"/>
      <c r="C26" s="335"/>
      <c r="D26" s="338"/>
      <c r="E26" s="329"/>
      <c r="F26" s="332"/>
      <c r="G26" s="96"/>
      <c r="H26" s="96"/>
      <c r="I26" s="313">
        <v>6944.2036569599204</v>
      </c>
      <c r="J26" s="97"/>
      <c r="K26" s="75">
        <f t="shared" si="0"/>
        <v>6944.2036569599204</v>
      </c>
      <c r="L26" s="96"/>
      <c r="M26" s="96" t="s">
        <v>214</v>
      </c>
    </row>
    <row r="27" spans="1:13" x14ac:dyDescent="0.25">
      <c r="A27" s="69">
        <v>41</v>
      </c>
      <c r="B27" s="333"/>
      <c r="C27" s="336"/>
      <c r="D27" s="339"/>
      <c r="E27" s="330"/>
      <c r="F27" s="333"/>
      <c r="G27" s="96"/>
      <c r="H27" s="96"/>
      <c r="I27" s="313">
        <v>6944.2036569599204</v>
      </c>
      <c r="J27" s="99"/>
      <c r="K27" s="75">
        <f t="shared" si="0"/>
        <v>6944.2036569599204</v>
      </c>
      <c r="L27" s="96"/>
      <c r="M27" s="96" t="s">
        <v>214</v>
      </c>
    </row>
    <row r="28" spans="1:13" ht="16.5" x14ac:dyDescent="0.25">
      <c r="A28" s="85">
        <v>551</v>
      </c>
      <c r="B28" s="77">
        <v>71500</v>
      </c>
      <c r="C28" s="71" t="s">
        <v>213</v>
      </c>
      <c r="D28" s="78" t="s">
        <v>211</v>
      </c>
      <c r="E28" s="73" t="s">
        <v>217</v>
      </c>
      <c r="F28" s="78" t="s">
        <v>123</v>
      </c>
      <c r="G28" s="74"/>
      <c r="H28" s="74"/>
      <c r="I28" s="89"/>
      <c r="J28" s="89"/>
      <c r="K28" s="75" t="s">
        <v>225</v>
      </c>
      <c r="L28" s="78"/>
      <c r="M28" s="96"/>
    </row>
    <row r="29" spans="1:13" ht="16.5" x14ac:dyDescent="0.25">
      <c r="A29" s="85">
        <v>551</v>
      </c>
      <c r="B29" s="77">
        <v>71500</v>
      </c>
      <c r="C29" s="71" t="s">
        <v>216</v>
      </c>
      <c r="D29" s="78" t="s">
        <v>211</v>
      </c>
      <c r="E29" s="73" t="s">
        <v>218</v>
      </c>
      <c r="F29" s="78" t="s">
        <v>123</v>
      </c>
      <c r="G29" s="74"/>
      <c r="H29" s="74"/>
      <c r="I29" s="89"/>
      <c r="J29" s="89"/>
      <c r="K29" s="75" t="s">
        <v>225</v>
      </c>
      <c r="L29" s="78"/>
      <c r="M29" s="96"/>
    </row>
    <row r="30" spans="1:13" ht="16.5" x14ac:dyDescent="0.25">
      <c r="A30" s="85">
        <v>551</v>
      </c>
      <c r="B30" s="77">
        <v>71500</v>
      </c>
      <c r="C30" s="71" t="s">
        <v>221</v>
      </c>
      <c r="D30" s="78" t="s">
        <v>211</v>
      </c>
      <c r="E30" s="73" t="s">
        <v>219</v>
      </c>
      <c r="F30" s="78" t="s">
        <v>123</v>
      </c>
      <c r="G30" s="74"/>
      <c r="H30" s="74"/>
      <c r="I30" s="89"/>
      <c r="J30" s="89"/>
      <c r="K30" s="75" t="s">
        <v>225</v>
      </c>
      <c r="L30" s="78"/>
      <c r="M30" s="96"/>
    </row>
    <row r="31" spans="1:13" ht="16.5" x14ac:dyDescent="0.25">
      <c r="A31" s="85">
        <v>551</v>
      </c>
      <c r="B31" s="77">
        <v>71500</v>
      </c>
      <c r="C31" s="71" t="s">
        <v>222</v>
      </c>
      <c r="D31" s="78" t="s">
        <v>211</v>
      </c>
      <c r="E31" s="73" t="s">
        <v>220</v>
      </c>
      <c r="F31" s="78" t="s">
        <v>123</v>
      </c>
      <c r="G31" s="74"/>
      <c r="H31" s="74"/>
      <c r="I31" s="89"/>
      <c r="J31" s="89"/>
      <c r="K31" s="75" t="s">
        <v>215</v>
      </c>
      <c r="L31" s="78"/>
      <c r="M31" s="96"/>
    </row>
    <row r="32" spans="1:13" ht="16.5" x14ac:dyDescent="0.25">
      <c r="A32" s="69">
        <v>41</v>
      </c>
      <c r="B32" s="305">
        <v>71500</v>
      </c>
      <c r="C32" s="306" t="s">
        <v>223</v>
      </c>
      <c r="D32" s="307" t="s">
        <v>211</v>
      </c>
      <c r="E32" s="308" t="s">
        <v>224</v>
      </c>
      <c r="F32" s="307" t="s">
        <v>123</v>
      </c>
      <c r="G32" s="309"/>
      <c r="H32" s="309"/>
      <c r="I32" s="310"/>
      <c r="J32" s="310"/>
      <c r="K32" s="75">
        <v>9000</v>
      </c>
      <c r="L32" s="307"/>
      <c r="M32" s="311" t="s">
        <v>226</v>
      </c>
    </row>
    <row r="33" spans="1:13" ht="16.5" x14ac:dyDescent="0.25">
      <c r="A33" s="85">
        <v>551</v>
      </c>
      <c r="B33" s="305">
        <v>71300</v>
      </c>
      <c r="C33" s="306" t="s">
        <v>223</v>
      </c>
      <c r="D33" s="307" t="s">
        <v>211</v>
      </c>
      <c r="E33" s="308" t="s">
        <v>227</v>
      </c>
      <c r="F33" s="307" t="s">
        <v>228</v>
      </c>
      <c r="G33" s="309"/>
      <c r="H33" s="309"/>
      <c r="I33" s="310"/>
      <c r="J33" s="310"/>
      <c r="K33" s="75">
        <v>13000</v>
      </c>
      <c r="L33" s="307"/>
      <c r="M33" t="s">
        <v>229</v>
      </c>
    </row>
    <row r="34" spans="1:13" ht="16.5" x14ac:dyDescent="0.25">
      <c r="A34" s="312">
        <v>10551</v>
      </c>
      <c r="B34" s="305">
        <v>71300</v>
      </c>
      <c r="C34" s="306" t="s">
        <v>223</v>
      </c>
      <c r="D34" s="307" t="s">
        <v>211</v>
      </c>
      <c r="E34" s="308" t="s">
        <v>231</v>
      </c>
      <c r="F34" s="307" t="s">
        <v>228</v>
      </c>
      <c r="G34" s="309"/>
      <c r="H34" s="309"/>
      <c r="I34" s="310"/>
      <c r="J34" s="310"/>
      <c r="K34" s="75">
        <v>2500</v>
      </c>
      <c r="L34" s="307"/>
      <c r="M34" t="s">
        <v>232</v>
      </c>
    </row>
    <row r="35" spans="1:13" ht="16.5" x14ac:dyDescent="0.25">
      <c r="A35" s="312">
        <v>10551</v>
      </c>
      <c r="B35" s="305">
        <v>71600</v>
      </c>
      <c r="C35" s="306" t="s">
        <v>223</v>
      </c>
      <c r="D35" s="307" t="s">
        <v>211</v>
      </c>
      <c r="E35" s="308" t="s">
        <v>233</v>
      </c>
      <c r="F35" s="307"/>
      <c r="G35" s="309"/>
      <c r="H35" s="309"/>
      <c r="I35" s="310"/>
      <c r="J35" s="310"/>
      <c r="K35" s="75" t="s">
        <v>215</v>
      </c>
      <c r="L35" s="307"/>
    </row>
    <row r="36" spans="1:13" ht="16.5" x14ac:dyDescent="0.25">
      <c r="A36" s="85">
        <v>551</v>
      </c>
      <c r="B36" s="77">
        <v>71600</v>
      </c>
      <c r="C36" s="71" t="s">
        <v>213</v>
      </c>
      <c r="D36" s="78" t="s">
        <v>211</v>
      </c>
      <c r="E36" s="308" t="s">
        <v>233</v>
      </c>
      <c r="F36" s="78"/>
      <c r="G36" s="74"/>
      <c r="H36" s="74"/>
      <c r="I36" s="89"/>
      <c r="J36" s="89"/>
      <c r="K36" s="75">
        <v>2400</v>
      </c>
      <c r="L36" s="78"/>
      <c r="M36" s="96"/>
    </row>
  </sheetData>
  <mergeCells count="5">
    <mergeCell ref="B23:B27"/>
    <mergeCell ref="C23:C27"/>
    <mergeCell ref="D23:D27"/>
    <mergeCell ref="E23:E27"/>
    <mergeCell ref="F23:F27"/>
  </mergeCells>
  <hyperlinks>
    <hyperlink ref="E9" r:id="rId1" display="https://drive.google.com/open?id=0B66643ool4WMZHNRQ0taWlVXeWc"/>
    <hyperlink ref="E14" r:id="rId2" display="https://drive.google.com/open?id=0B66643ool4WMalNpUFJiZVIzSTA"/>
    <hyperlink ref="E3" r:id="rId3" display="https://drive.google.com/open?id=0B66643ool4WMR056RWNlTGFzdlU"/>
    <hyperlink ref="E7" r:id="rId4" display="https://drive.google.com/open?id=0B66643ool4WMRnhtZGJCVVZJOFE"/>
  </hyperlinks>
  <pageMargins left="0.7" right="0.7" top="0.75" bottom="0.75" header="0.3" footer="0.3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153"/>
  <sheetViews>
    <sheetView workbookViewId="0">
      <selection activeCell="F149" sqref="F149"/>
    </sheetView>
  </sheetViews>
  <sheetFormatPr baseColWidth="10" defaultRowHeight="15.75" x14ac:dyDescent="0.25"/>
  <cols>
    <col min="1" max="1" width="13.375" customWidth="1"/>
    <col min="2" max="2" width="10" customWidth="1"/>
    <col min="3" max="3" width="16.375" customWidth="1"/>
    <col min="4" max="4" width="17.5" customWidth="1"/>
    <col min="5" max="5" width="17.375" customWidth="1"/>
    <col min="6" max="6" width="17.5" customWidth="1"/>
    <col min="7" max="7" width="12.5" customWidth="1"/>
    <col min="8" max="8" width="13.625" customWidth="1"/>
    <col min="9" max="9" width="13.5" bestFit="1" customWidth="1"/>
    <col min="10" max="10" width="12.375" bestFit="1" customWidth="1"/>
    <col min="11" max="11" width="23" style="100" customWidth="1"/>
    <col min="12" max="12" width="17.625" style="100" bestFit="1" customWidth="1"/>
    <col min="13" max="27" width="10.875" style="100"/>
  </cols>
  <sheetData>
    <row r="2" spans="1:27" ht="16.5" thickBot="1" x14ac:dyDescent="0.3"/>
    <row r="3" spans="1:27" s="108" customFormat="1" ht="60.75" thickBot="1" x14ac:dyDescent="0.3">
      <c r="A3" s="101" t="s">
        <v>159</v>
      </c>
      <c r="B3" s="102" t="s">
        <v>160</v>
      </c>
      <c r="C3" s="102" t="s">
        <v>161</v>
      </c>
      <c r="D3" s="102" t="s">
        <v>162</v>
      </c>
      <c r="E3" s="102" t="s">
        <v>163</v>
      </c>
      <c r="F3" s="102" t="s">
        <v>164</v>
      </c>
      <c r="G3" s="102" t="s">
        <v>165</v>
      </c>
      <c r="H3" s="103" t="s">
        <v>166</v>
      </c>
      <c r="I3" s="104" t="s">
        <v>167</v>
      </c>
      <c r="J3" s="105" t="s">
        <v>168</v>
      </c>
      <c r="K3" s="106" t="s">
        <v>120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x14ac:dyDescent="0.25">
      <c r="A4" s="343" t="s">
        <v>169</v>
      </c>
      <c r="B4" s="345">
        <v>551</v>
      </c>
      <c r="C4" s="109">
        <v>71400</v>
      </c>
      <c r="D4" s="110">
        <v>19000</v>
      </c>
      <c r="E4" s="111">
        <f>12898.88+33.75+573.52</f>
        <v>13506.15</v>
      </c>
      <c r="F4" s="112">
        <f>D4-E4</f>
        <v>5493.85</v>
      </c>
      <c r="G4" s="111">
        <f>12898.88+33.75+573.52</f>
        <v>13506.15</v>
      </c>
      <c r="H4" s="113"/>
      <c r="I4" s="114">
        <f>G4+H4</f>
        <v>13506.15</v>
      </c>
      <c r="J4" s="115">
        <f>D4-I4</f>
        <v>5493.85</v>
      </c>
      <c r="K4" s="96"/>
    </row>
    <row r="5" spans="1:27" x14ac:dyDescent="0.25">
      <c r="A5" s="343"/>
      <c r="B5" s="343"/>
      <c r="C5" s="116">
        <v>71500</v>
      </c>
      <c r="D5" s="117">
        <v>6150</v>
      </c>
      <c r="E5" s="118">
        <v>6211.82</v>
      </c>
      <c r="F5" s="119">
        <f>D5-E5</f>
        <v>-61.819999999999709</v>
      </c>
      <c r="G5" s="118">
        <v>6211.82</v>
      </c>
      <c r="H5" s="120">
        <v>3000</v>
      </c>
      <c r="I5" s="121">
        <f>G5+H5</f>
        <v>9211.82</v>
      </c>
      <c r="J5" s="122">
        <f>D5-I5</f>
        <v>-3061.8199999999997</v>
      </c>
      <c r="K5" s="96" t="s">
        <v>170</v>
      </c>
    </row>
    <row r="6" spans="1:27" x14ac:dyDescent="0.25">
      <c r="A6" s="343"/>
      <c r="B6" s="343"/>
      <c r="C6" s="116">
        <v>71600</v>
      </c>
      <c r="D6" s="117">
        <v>2000</v>
      </c>
      <c r="E6" s="118">
        <f>1195.16+454.37</f>
        <v>1649.5300000000002</v>
      </c>
      <c r="F6" s="119">
        <f>D6-E6</f>
        <v>350.4699999999998</v>
      </c>
      <c r="G6" s="118">
        <f>1195.16+454.37</f>
        <v>1649.5300000000002</v>
      </c>
      <c r="H6" s="120">
        <f>3000</f>
        <v>3000</v>
      </c>
      <c r="I6" s="121">
        <f>G6+H6</f>
        <v>4649.5300000000007</v>
      </c>
      <c r="J6" s="122">
        <f>D6-I6</f>
        <v>-2649.5300000000007</v>
      </c>
      <c r="K6" s="96" t="s">
        <v>171</v>
      </c>
    </row>
    <row r="7" spans="1:27" ht="16.5" thickBot="1" x14ac:dyDescent="0.3">
      <c r="A7" s="343"/>
      <c r="B7" s="346"/>
      <c r="C7" s="123">
        <v>75100</v>
      </c>
      <c r="D7" s="124">
        <v>1900.5</v>
      </c>
      <c r="E7" s="125">
        <f>1176.42+234.84</f>
        <v>1411.26</v>
      </c>
      <c r="F7" s="119">
        <f>D7-E7</f>
        <v>489.24</v>
      </c>
      <c r="G7" s="125">
        <v>1176.42</v>
      </c>
      <c r="H7" s="126">
        <f>(H5+H6)*0.08</f>
        <v>480</v>
      </c>
      <c r="I7" s="121">
        <f>G7+H7</f>
        <v>1656.42</v>
      </c>
      <c r="J7" s="127">
        <f>D7-I7</f>
        <v>244.07999999999993</v>
      </c>
      <c r="K7" s="128">
        <v>0.08</v>
      </c>
    </row>
    <row r="8" spans="1:27" ht="16.5" thickBot="1" x14ac:dyDescent="0.3">
      <c r="A8" s="343"/>
      <c r="B8" s="129" t="s">
        <v>172</v>
      </c>
      <c r="C8" s="130"/>
      <c r="D8" s="131">
        <f t="shared" ref="D8:J8" si="0">SUM(D4:D7)</f>
        <v>29050.5</v>
      </c>
      <c r="E8" s="131">
        <f t="shared" si="0"/>
        <v>22778.76</v>
      </c>
      <c r="F8" s="132">
        <f t="shared" si="0"/>
        <v>6271.74</v>
      </c>
      <c r="G8" s="133">
        <f t="shared" si="0"/>
        <v>22543.919999999998</v>
      </c>
      <c r="H8" s="134">
        <f t="shared" si="0"/>
        <v>6480</v>
      </c>
      <c r="I8" s="134">
        <f t="shared" si="0"/>
        <v>29023.919999999998</v>
      </c>
      <c r="J8" s="135">
        <f t="shared" si="0"/>
        <v>26.579999999999927</v>
      </c>
      <c r="K8" s="136"/>
      <c r="L8" s="137"/>
    </row>
    <row r="9" spans="1:27" x14ac:dyDescent="0.25">
      <c r="A9" s="344"/>
      <c r="B9" s="342">
        <v>10159</v>
      </c>
      <c r="C9" s="109">
        <v>71400</v>
      </c>
      <c r="D9" s="110">
        <v>19000</v>
      </c>
      <c r="E9" s="138">
        <f>10945+16.22+275.67</f>
        <v>11236.89</v>
      </c>
      <c r="F9" s="112">
        <f>D9-E9</f>
        <v>7763.1100000000006</v>
      </c>
      <c r="G9" s="138">
        <f>10945+16.22+275.67</f>
        <v>11236.89</v>
      </c>
      <c r="H9" s="113"/>
      <c r="I9" s="139">
        <f>G9+H9</f>
        <v>11236.89</v>
      </c>
      <c r="J9" s="140">
        <f>D9-I9</f>
        <v>7763.1100000000006</v>
      </c>
      <c r="K9" s="96"/>
    </row>
    <row r="10" spans="1:27" x14ac:dyDescent="0.25">
      <c r="A10" s="344"/>
      <c r="B10" s="342"/>
      <c r="C10" s="116">
        <v>71500</v>
      </c>
      <c r="D10" s="117">
        <v>7500</v>
      </c>
      <c r="E10" s="141">
        <f>1865.87+100+85.32+99.27+79.3+156.11+1951.84</f>
        <v>4337.71</v>
      </c>
      <c r="F10" s="142">
        <f>D10-E10</f>
        <v>3162.29</v>
      </c>
      <c r="G10" s="143">
        <f>1865.87+100+85.32+99.27+79.3+156.11+1951.84+E91</f>
        <v>9770.7900000000009</v>
      </c>
      <c r="H10" s="117"/>
      <c r="I10" s="117">
        <f>G10+H10</f>
        <v>9770.7900000000009</v>
      </c>
      <c r="J10" s="144">
        <f>D10-I10</f>
        <v>-2270.7900000000009</v>
      </c>
      <c r="K10" s="96" t="s">
        <v>173</v>
      </c>
    </row>
    <row r="11" spans="1:27" x14ac:dyDescent="0.25">
      <c r="A11" s="344"/>
      <c r="B11" s="342"/>
      <c r="C11" s="116">
        <v>71600</v>
      </c>
      <c r="D11" s="117">
        <v>2000</v>
      </c>
      <c r="E11" s="141">
        <f>38.94+171+138.17</f>
        <v>348.11</v>
      </c>
      <c r="F11" s="142">
        <f>D11-E11</f>
        <v>1651.8899999999999</v>
      </c>
      <c r="G11" s="141">
        <f>38.94+171+138.17</f>
        <v>348.11</v>
      </c>
      <c r="H11" s="117"/>
      <c r="I11" s="117">
        <f>G11+H11</f>
        <v>348.11</v>
      </c>
      <c r="J11" s="144">
        <f>D11-I11</f>
        <v>1651.8899999999999</v>
      </c>
      <c r="K11" s="96"/>
    </row>
    <row r="12" spans="1:27" ht="16.5" thickBot="1" x14ac:dyDescent="0.3">
      <c r="A12" s="344"/>
      <c r="B12" s="342"/>
      <c r="C12" s="123">
        <v>75100</v>
      </c>
      <c r="D12" s="124">
        <v>1995</v>
      </c>
      <c r="E12" s="145">
        <f>195.92+6.22</f>
        <v>202.14</v>
      </c>
      <c r="F12" s="146">
        <f>D12-E12</f>
        <v>1792.8600000000001</v>
      </c>
      <c r="G12" s="145">
        <f>195.92+234.84+6.22</f>
        <v>436.98</v>
      </c>
      <c r="H12" s="147">
        <f>SUM(H9:H11)*0.07</f>
        <v>0</v>
      </c>
      <c r="I12" s="148">
        <f>G12+H12</f>
        <v>436.98</v>
      </c>
      <c r="J12" s="149">
        <f>D12-I12</f>
        <v>1558.02</v>
      </c>
      <c r="K12" s="128">
        <v>7.0000000000000007E-2</v>
      </c>
    </row>
    <row r="13" spans="1:27" ht="16.5" thickBot="1" x14ac:dyDescent="0.3">
      <c r="A13" s="343"/>
      <c r="B13" s="129" t="s">
        <v>174</v>
      </c>
      <c r="C13" s="130"/>
      <c r="D13" s="131">
        <f t="shared" ref="D13:J13" si="1">SUM(D9:D12)</f>
        <v>30495</v>
      </c>
      <c r="E13" s="131">
        <f t="shared" si="1"/>
        <v>16124.849999999999</v>
      </c>
      <c r="F13" s="132">
        <f t="shared" si="1"/>
        <v>14370.150000000001</v>
      </c>
      <c r="G13" s="133">
        <f t="shared" si="1"/>
        <v>21792.77</v>
      </c>
      <c r="H13" s="134">
        <f t="shared" si="1"/>
        <v>0</v>
      </c>
      <c r="I13" s="134">
        <f t="shared" si="1"/>
        <v>21792.77</v>
      </c>
      <c r="J13" s="135">
        <f t="shared" si="1"/>
        <v>8702.23</v>
      </c>
      <c r="K13" s="136"/>
    </row>
    <row r="14" spans="1:27" ht="16.5" thickBot="1" x14ac:dyDescent="0.3">
      <c r="A14" s="150" t="s">
        <v>175</v>
      </c>
      <c r="B14" s="151"/>
      <c r="C14" s="152"/>
      <c r="D14" s="153">
        <f>+D8+D13</f>
        <v>59545.5</v>
      </c>
      <c r="E14" s="153">
        <f>+E8+E13</f>
        <v>38903.61</v>
      </c>
      <c r="F14" s="153">
        <f>+F8+F13</f>
        <v>20641.89</v>
      </c>
      <c r="G14" s="154">
        <f>G13+G8</f>
        <v>44336.69</v>
      </c>
      <c r="H14" s="154">
        <f>H13+H8</f>
        <v>6480</v>
      </c>
      <c r="I14" s="154">
        <f>I13+I8</f>
        <v>50816.69</v>
      </c>
      <c r="J14" s="155">
        <f>J13+J8</f>
        <v>8728.81</v>
      </c>
      <c r="K14" s="136"/>
    </row>
    <row r="15" spans="1:27" ht="48" thickBot="1" x14ac:dyDescent="0.3">
      <c r="A15" s="156"/>
      <c r="B15" s="157">
        <v>11</v>
      </c>
      <c r="C15" s="158">
        <v>71600</v>
      </c>
      <c r="D15" s="158">
        <v>0</v>
      </c>
      <c r="E15" s="158">
        <v>1520.92</v>
      </c>
      <c r="F15" s="158">
        <f>D15-E15</f>
        <v>-1520.92</v>
      </c>
      <c r="G15" s="158"/>
      <c r="H15" s="158">
        <v>0</v>
      </c>
      <c r="I15" s="158">
        <f>D15-H15</f>
        <v>0</v>
      </c>
      <c r="J15" s="115">
        <f>D15-I15</f>
        <v>0</v>
      </c>
      <c r="K15" s="159" t="s">
        <v>176</v>
      </c>
    </row>
    <row r="16" spans="1:27" ht="16.5" thickBot="1" x14ac:dyDescent="0.3">
      <c r="A16" s="156"/>
      <c r="B16" s="129" t="s">
        <v>177</v>
      </c>
      <c r="C16" s="130"/>
      <c r="D16" s="160">
        <v>0</v>
      </c>
      <c r="E16" s="160">
        <v>1520.92</v>
      </c>
      <c r="F16" s="161">
        <v>-1520.92</v>
      </c>
      <c r="G16" s="162">
        <f>G15</f>
        <v>0</v>
      </c>
      <c r="H16" s="160">
        <f>H15</f>
        <v>0</v>
      </c>
      <c r="I16" s="160">
        <f>I15</f>
        <v>0</v>
      </c>
      <c r="J16" s="163">
        <f>J15</f>
        <v>0</v>
      </c>
      <c r="K16" s="96"/>
    </row>
    <row r="17" spans="1:12" customFormat="1" x14ac:dyDescent="0.25">
      <c r="A17" s="342"/>
      <c r="B17" s="347">
        <v>41</v>
      </c>
      <c r="C17" s="110">
        <v>71300</v>
      </c>
      <c r="D17" s="110">
        <v>6500</v>
      </c>
      <c r="E17" s="110">
        <v>2753.56</v>
      </c>
      <c r="F17" s="164">
        <f t="shared" ref="F17:F22" si="2">D17-E17</f>
        <v>3746.44</v>
      </c>
      <c r="G17" s="111" t="e">
        <f>[1]COMPROMISOS!I3+2779.49</f>
        <v>#REF!</v>
      </c>
      <c r="H17" s="165" t="e">
        <f>[1]COMPROMISOS!K3+[1]COMPROMISOS!K6</f>
        <v>#REF!</v>
      </c>
      <c r="I17" s="114" t="e">
        <f t="shared" ref="I17:I22" si="3">G17+H17</f>
        <v>#REF!</v>
      </c>
      <c r="J17" s="115" t="e">
        <f t="shared" ref="J17:J22" si="4">D17-I17</f>
        <v>#REF!</v>
      </c>
      <c r="K17" s="96" t="s">
        <v>178</v>
      </c>
      <c r="L17" s="100"/>
    </row>
    <row r="18" spans="1:12" customFormat="1" x14ac:dyDescent="0.25">
      <c r="A18" s="342"/>
      <c r="B18" s="344"/>
      <c r="C18" s="117">
        <v>71600</v>
      </c>
      <c r="D18" s="117">
        <v>800</v>
      </c>
      <c r="E18" s="117">
        <f>(640.32+587.43)+(-1520.92)</f>
        <v>-293.17000000000007</v>
      </c>
      <c r="F18" s="142">
        <f t="shared" si="2"/>
        <v>1093.17</v>
      </c>
      <c r="G18" s="118">
        <f>640.32+587.43+E15</f>
        <v>2748.67</v>
      </c>
      <c r="H18" s="166"/>
      <c r="I18" s="121">
        <f t="shared" si="3"/>
        <v>2748.67</v>
      </c>
      <c r="J18" s="122">
        <f t="shared" si="4"/>
        <v>-1948.67</v>
      </c>
      <c r="K18" s="96"/>
      <c r="L18" s="100"/>
    </row>
    <row r="19" spans="1:12" customFormat="1" x14ac:dyDescent="0.25">
      <c r="A19" s="342"/>
      <c r="B19" s="344"/>
      <c r="C19" s="117">
        <v>72400</v>
      </c>
      <c r="D19" s="117">
        <v>400</v>
      </c>
      <c r="E19" s="117">
        <f>3.7+5.85</f>
        <v>9.5500000000000007</v>
      </c>
      <c r="F19" s="142">
        <f t="shared" si="2"/>
        <v>390.45</v>
      </c>
      <c r="G19" s="118">
        <v>9.5500000000000007</v>
      </c>
      <c r="H19" s="121"/>
      <c r="I19" s="121">
        <f t="shared" si="3"/>
        <v>9.5500000000000007</v>
      </c>
      <c r="J19" s="122">
        <f t="shared" si="4"/>
        <v>390.45</v>
      </c>
      <c r="K19" s="96"/>
      <c r="L19" s="100"/>
    </row>
    <row r="20" spans="1:12" customFormat="1" x14ac:dyDescent="0.25">
      <c r="A20" s="342"/>
      <c r="B20" s="344"/>
      <c r="C20" s="117">
        <v>74500</v>
      </c>
      <c r="D20" s="117">
        <v>100</v>
      </c>
      <c r="E20" s="117">
        <f>16.95+152.07</f>
        <v>169.01999999999998</v>
      </c>
      <c r="F20" s="142">
        <f t="shared" si="2"/>
        <v>-69.019999999999982</v>
      </c>
      <c r="G20" s="118">
        <v>169.02</v>
      </c>
      <c r="H20" s="166" t="e">
        <f>[1]COMPROMISOS!K5</f>
        <v>#REF!</v>
      </c>
      <c r="I20" s="121" t="e">
        <f t="shared" si="3"/>
        <v>#REF!</v>
      </c>
      <c r="J20" s="122" t="e">
        <f t="shared" si="4"/>
        <v>#REF!</v>
      </c>
      <c r="K20" s="96"/>
      <c r="L20" s="100"/>
    </row>
    <row r="21" spans="1:12" customFormat="1" x14ac:dyDescent="0.25">
      <c r="A21" s="342"/>
      <c r="B21" s="344"/>
      <c r="C21" s="117">
        <v>75100</v>
      </c>
      <c r="D21" s="117">
        <v>1024</v>
      </c>
      <c r="E21" s="117">
        <v>8.93</v>
      </c>
      <c r="F21" s="142">
        <f t="shared" si="2"/>
        <v>1015.07</v>
      </c>
      <c r="G21" s="118">
        <v>8.93</v>
      </c>
      <c r="H21" s="121" t="e">
        <f>(H17+H20+H22)*0.08</f>
        <v>#REF!</v>
      </c>
      <c r="I21" s="121" t="e">
        <f t="shared" si="3"/>
        <v>#REF!</v>
      </c>
      <c r="J21" s="122" t="e">
        <f t="shared" si="4"/>
        <v>#REF!</v>
      </c>
      <c r="K21" s="128">
        <v>0.08</v>
      </c>
      <c r="L21" s="100"/>
    </row>
    <row r="22" spans="1:12" customFormat="1" ht="16.5" thickBot="1" x14ac:dyDescent="0.3">
      <c r="A22" s="342"/>
      <c r="B22" s="348"/>
      <c r="C22" s="124">
        <v>75700</v>
      </c>
      <c r="D22" s="124">
        <v>5000</v>
      </c>
      <c r="E22" s="124">
        <v>0</v>
      </c>
      <c r="F22" s="142">
        <f t="shared" si="2"/>
        <v>5000</v>
      </c>
      <c r="G22" s="125">
        <f>E22</f>
        <v>0</v>
      </c>
      <c r="H22" s="167"/>
      <c r="I22" s="168">
        <f t="shared" si="3"/>
        <v>0</v>
      </c>
      <c r="J22" s="127">
        <f t="shared" si="4"/>
        <v>5000</v>
      </c>
      <c r="K22" s="96"/>
      <c r="L22" s="137"/>
    </row>
    <row r="23" spans="1:12" customFormat="1" ht="16.5" thickBot="1" x14ac:dyDescent="0.3">
      <c r="A23" s="342"/>
      <c r="B23" s="130" t="s">
        <v>179</v>
      </c>
      <c r="C23" s="160"/>
      <c r="D23" s="131">
        <f t="shared" ref="D23:J23" si="5">SUM(D17:D22)</f>
        <v>13824</v>
      </c>
      <c r="E23" s="160">
        <f t="shared" si="5"/>
        <v>2647.89</v>
      </c>
      <c r="F23" s="161">
        <f t="shared" si="5"/>
        <v>11176.11</v>
      </c>
      <c r="G23" s="133" t="e">
        <f t="shared" si="5"/>
        <v>#REF!</v>
      </c>
      <c r="H23" s="134" t="e">
        <f t="shared" si="5"/>
        <v>#REF!</v>
      </c>
      <c r="I23" s="134" t="e">
        <f t="shared" si="5"/>
        <v>#REF!</v>
      </c>
      <c r="J23" s="169" t="e">
        <f t="shared" si="5"/>
        <v>#REF!</v>
      </c>
      <c r="K23" s="136"/>
      <c r="L23" s="137"/>
    </row>
    <row r="24" spans="1:12" customFormat="1" x14ac:dyDescent="0.25">
      <c r="A24" s="342"/>
      <c r="B24" s="345">
        <v>551</v>
      </c>
      <c r="C24" s="170">
        <v>71300</v>
      </c>
      <c r="D24" s="171">
        <v>0</v>
      </c>
      <c r="E24" s="110">
        <f>11539.87+2779.49</f>
        <v>14319.36</v>
      </c>
      <c r="F24" s="172">
        <f t="shared" ref="F24:F32" si="6">D24-E24</f>
        <v>-14319.36</v>
      </c>
      <c r="G24" s="111">
        <v>11539.87</v>
      </c>
      <c r="H24" s="114" t="e">
        <f>[1]COMPROMISOS!K7+[1]COMPROMISOS!K8</f>
        <v>#REF!</v>
      </c>
      <c r="I24" s="114" t="e">
        <f t="shared" ref="I24:I32" si="7">G24+H24</f>
        <v>#REF!</v>
      </c>
      <c r="J24" s="115" t="e">
        <f>D24-I24</f>
        <v>#REF!</v>
      </c>
      <c r="K24" s="96" t="s">
        <v>178</v>
      </c>
      <c r="L24" s="137"/>
    </row>
    <row r="25" spans="1:12" customFormat="1" x14ac:dyDescent="0.25">
      <c r="A25" s="342"/>
      <c r="B25" s="343"/>
      <c r="C25" s="173">
        <v>71400</v>
      </c>
      <c r="D25" s="174">
        <v>16000</v>
      </c>
      <c r="E25" s="117">
        <v>0</v>
      </c>
      <c r="F25" s="142">
        <f t="shared" si="6"/>
        <v>16000</v>
      </c>
      <c r="G25" s="175"/>
      <c r="H25" s="121"/>
      <c r="I25" s="121">
        <f t="shared" si="7"/>
        <v>0</v>
      </c>
      <c r="J25" s="122">
        <f t="shared" ref="J25:J32" si="8">D25-I25</f>
        <v>16000</v>
      </c>
      <c r="K25" s="117" t="s">
        <v>180</v>
      </c>
      <c r="L25" s="137"/>
    </row>
    <row r="26" spans="1:12" customFormat="1" x14ac:dyDescent="0.25">
      <c r="A26" s="342"/>
      <c r="B26" s="343"/>
      <c r="C26" s="116">
        <v>71600</v>
      </c>
      <c r="D26" s="117">
        <v>800</v>
      </c>
      <c r="E26" s="117">
        <f>1195.74+1313.57+591.18</f>
        <v>3100.49</v>
      </c>
      <c r="F26" s="142">
        <f t="shared" si="6"/>
        <v>-2300.4899999999998</v>
      </c>
      <c r="G26" s="118">
        <f>E26</f>
        <v>3100.49</v>
      </c>
      <c r="H26" s="121">
        <f>(120+150)*2</f>
        <v>540</v>
      </c>
      <c r="I26" s="121">
        <f t="shared" si="7"/>
        <v>3640.49</v>
      </c>
      <c r="J26" s="122">
        <f t="shared" si="8"/>
        <v>-2840.49</v>
      </c>
      <c r="K26" s="96" t="s">
        <v>181</v>
      </c>
      <c r="L26" s="137"/>
    </row>
    <row r="27" spans="1:12" customFormat="1" x14ac:dyDescent="0.25">
      <c r="A27" s="342"/>
      <c r="B27" s="343"/>
      <c r="C27" s="116">
        <v>72400</v>
      </c>
      <c r="D27" s="117">
        <v>800</v>
      </c>
      <c r="E27" s="117">
        <v>35.81</v>
      </c>
      <c r="F27" s="142">
        <f t="shared" si="6"/>
        <v>764.19</v>
      </c>
      <c r="G27" s="118">
        <f>E27</f>
        <v>35.81</v>
      </c>
      <c r="H27" s="121"/>
      <c r="I27" s="121">
        <f t="shared" si="7"/>
        <v>35.81</v>
      </c>
      <c r="J27" s="122">
        <f t="shared" si="8"/>
        <v>764.19</v>
      </c>
      <c r="K27" s="96"/>
      <c r="L27" s="100"/>
    </row>
    <row r="28" spans="1:12" customFormat="1" x14ac:dyDescent="0.25">
      <c r="A28" s="342"/>
      <c r="B28" s="343"/>
      <c r="C28" s="116">
        <v>72500</v>
      </c>
      <c r="D28" s="117">
        <v>0</v>
      </c>
      <c r="E28" s="117">
        <v>19.84</v>
      </c>
      <c r="F28" s="142">
        <f t="shared" si="6"/>
        <v>-19.84</v>
      </c>
      <c r="G28" s="118">
        <f>E28</f>
        <v>19.84</v>
      </c>
      <c r="H28" s="121"/>
      <c r="I28" s="121">
        <f t="shared" si="7"/>
        <v>19.84</v>
      </c>
      <c r="J28" s="122">
        <f t="shared" si="8"/>
        <v>-19.84</v>
      </c>
      <c r="K28" s="96"/>
      <c r="L28" s="100"/>
    </row>
    <row r="29" spans="1:12" customFormat="1" x14ac:dyDescent="0.25">
      <c r="A29" s="342"/>
      <c r="B29" s="343"/>
      <c r="C29" s="116">
        <v>73300</v>
      </c>
      <c r="D29" s="117"/>
      <c r="E29" s="117">
        <v>42.83</v>
      </c>
      <c r="F29" s="142">
        <f t="shared" si="6"/>
        <v>-42.83</v>
      </c>
      <c r="G29" s="118">
        <f>E29</f>
        <v>42.83</v>
      </c>
      <c r="H29" s="121"/>
      <c r="I29" s="121">
        <f t="shared" si="7"/>
        <v>42.83</v>
      </c>
      <c r="J29" s="122">
        <f t="shared" si="8"/>
        <v>-42.83</v>
      </c>
      <c r="K29" s="96"/>
      <c r="L29" s="100"/>
    </row>
    <row r="30" spans="1:12" customFormat="1" x14ac:dyDescent="0.25">
      <c r="A30" s="342"/>
      <c r="B30" s="343"/>
      <c r="C30" s="116">
        <v>74500</v>
      </c>
      <c r="D30" s="117">
        <v>200</v>
      </c>
      <c r="E30" s="117">
        <v>10.29</v>
      </c>
      <c r="F30" s="142">
        <f t="shared" si="6"/>
        <v>189.71</v>
      </c>
      <c r="G30" s="118">
        <f>E30</f>
        <v>10.29</v>
      </c>
      <c r="H30" s="121"/>
      <c r="I30" s="121">
        <f t="shared" si="7"/>
        <v>10.29</v>
      </c>
      <c r="J30" s="122">
        <f t="shared" si="8"/>
        <v>189.71</v>
      </c>
      <c r="K30" s="96"/>
      <c r="L30" s="100"/>
    </row>
    <row r="31" spans="1:12" customFormat="1" x14ac:dyDescent="0.25">
      <c r="A31" s="342"/>
      <c r="B31" s="343"/>
      <c r="C31" s="116">
        <v>75100</v>
      </c>
      <c r="D31" s="117">
        <v>1666</v>
      </c>
      <c r="E31" s="117">
        <v>850.94</v>
      </c>
      <c r="F31" s="142">
        <f t="shared" si="6"/>
        <v>815.06</v>
      </c>
      <c r="G31" s="118">
        <f>850.94</f>
        <v>850.94</v>
      </c>
      <c r="H31" s="121" t="e">
        <f>(H24+H26)*0.08</f>
        <v>#REF!</v>
      </c>
      <c r="I31" s="121" t="e">
        <f t="shared" si="7"/>
        <v>#REF!</v>
      </c>
      <c r="J31" s="122" t="e">
        <f t="shared" si="8"/>
        <v>#REF!</v>
      </c>
      <c r="K31" s="96"/>
      <c r="L31" s="100"/>
    </row>
    <row r="32" spans="1:12" customFormat="1" ht="16.5" thickBot="1" x14ac:dyDescent="0.3">
      <c r="A32" s="342"/>
      <c r="B32" s="346"/>
      <c r="C32" s="123">
        <v>75700</v>
      </c>
      <c r="D32" s="124">
        <v>6000</v>
      </c>
      <c r="E32" s="124">
        <f>72.82+1117.69+1788.25</f>
        <v>2978.76</v>
      </c>
      <c r="F32" s="176">
        <f t="shared" si="6"/>
        <v>3021.24</v>
      </c>
      <c r="G32" s="177">
        <f>2905.94+72.82</f>
        <v>2978.76</v>
      </c>
      <c r="H32" s="168" t="e">
        <f>+[1]COMPROMISOS!I6+[1]COMPROMISOS!I8-[1]COMPROMISOS!I22</f>
        <v>#REF!</v>
      </c>
      <c r="I32" s="168" t="e">
        <f t="shared" si="7"/>
        <v>#REF!</v>
      </c>
      <c r="J32" s="127" t="e">
        <f t="shared" si="8"/>
        <v>#REF!</v>
      </c>
      <c r="K32" s="96"/>
      <c r="L32" s="100"/>
    </row>
    <row r="33" spans="1:27" ht="16.5" thickBot="1" x14ac:dyDescent="0.3">
      <c r="A33" s="342"/>
      <c r="B33" s="178" t="s">
        <v>172</v>
      </c>
      <c r="C33" s="179"/>
      <c r="D33" s="180">
        <f t="shared" ref="D33:J33" si="9">SUM(D24:D32)</f>
        <v>25466</v>
      </c>
      <c r="E33" s="180">
        <f t="shared" si="9"/>
        <v>21358.32</v>
      </c>
      <c r="F33" s="181">
        <f t="shared" si="9"/>
        <v>4107.6799999999994</v>
      </c>
      <c r="G33" s="182">
        <f t="shared" si="9"/>
        <v>18578.830000000002</v>
      </c>
      <c r="H33" s="134" t="e">
        <f t="shared" si="9"/>
        <v>#REF!</v>
      </c>
      <c r="I33" s="134" t="e">
        <f t="shared" si="9"/>
        <v>#REF!</v>
      </c>
      <c r="J33" s="135" t="e">
        <f t="shared" si="9"/>
        <v>#REF!</v>
      </c>
      <c r="K33" s="136"/>
      <c r="L33" s="137"/>
      <c r="N33" s="183"/>
    </row>
    <row r="34" spans="1:27" s="185" customFormat="1" ht="16.5" thickBot="1" x14ac:dyDescent="0.3">
      <c r="A34" s="150" t="s">
        <v>182</v>
      </c>
      <c r="B34" s="151"/>
      <c r="C34" s="151"/>
      <c r="D34" s="153">
        <f>+D23+D33</f>
        <v>39290</v>
      </c>
      <c r="E34" s="153">
        <f t="shared" ref="E34:J34" si="10">+E23+E33+E16</f>
        <v>25527.129999999997</v>
      </c>
      <c r="F34" s="153">
        <f t="shared" si="10"/>
        <v>13762.87</v>
      </c>
      <c r="G34" s="184" t="e">
        <f t="shared" si="10"/>
        <v>#REF!</v>
      </c>
      <c r="H34" s="154" t="e">
        <f t="shared" si="10"/>
        <v>#REF!</v>
      </c>
      <c r="I34" s="154" t="e">
        <f t="shared" si="10"/>
        <v>#REF!</v>
      </c>
      <c r="J34" s="154" t="e">
        <f t="shared" si="10"/>
        <v>#REF!</v>
      </c>
      <c r="K34" s="96"/>
      <c r="L34" s="137"/>
      <c r="M34" s="137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1:27" x14ac:dyDescent="0.25">
      <c r="A35" s="349" t="s">
        <v>183</v>
      </c>
      <c r="B35" s="347">
        <v>551</v>
      </c>
      <c r="C35" s="110">
        <v>71500</v>
      </c>
      <c r="D35" s="110">
        <v>7500</v>
      </c>
      <c r="E35" s="186">
        <f>1597.47+400+341.28+369.59+275.72+542.47+1992</f>
        <v>5518.5300000000007</v>
      </c>
      <c r="F35" s="187">
        <f>+D35-E35</f>
        <v>1981.4699999999993</v>
      </c>
      <c r="G35" s="111">
        <f>E35</f>
        <v>5518.5300000000007</v>
      </c>
      <c r="H35" s="188">
        <v>3000</v>
      </c>
      <c r="I35" s="188">
        <f>G35+H35</f>
        <v>8518.5300000000007</v>
      </c>
      <c r="J35" s="189">
        <f>D35-I35</f>
        <v>-1018.5300000000007</v>
      </c>
      <c r="K35" s="96"/>
    </row>
    <row r="36" spans="1:27" ht="16.5" thickBot="1" x14ac:dyDescent="0.3">
      <c r="A36" s="342"/>
      <c r="B36" s="348"/>
      <c r="C36" s="124">
        <v>75100</v>
      </c>
      <c r="D36" s="124">
        <v>525</v>
      </c>
      <c r="E36" s="190">
        <v>468.39</v>
      </c>
      <c r="F36" s="191">
        <f>D36-E36</f>
        <v>56.610000000000014</v>
      </c>
      <c r="G36" s="125">
        <f>E36</f>
        <v>468.39</v>
      </c>
      <c r="H36" s="192">
        <f>H35*0.08</f>
        <v>240</v>
      </c>
      <c r="I36" s="192">
        <f>G36+H36</f>
        <v>708.39</v>
      </c>
      <c r="J36" s="193">
        <f>D36-I36</f>
        <v>-183.39</v>
      </c>
      <c r="K36" s="96"/>
    </row>
    <row r="37" spans="1:27" ht="16.5" thickBot="1" x14ac:dyDescent="0.3">
      <c r="A37" s="342"/>
      <c r="B37" s="130" t="s">
        <v>172</v>
      </c>
      <c r="C37" s="160"/>
      <c r="D37" s="160">
        <v>8025</v>
      </c>
      <c r="E37" s="131">
        <f>+E35+E36</f>
        <v>5986.920000000001</v>
      </c>
      <c r="F37" s="161">
        <f>+F35+F36</f>
        <v>2038.0799999999995</v>
      </c>
      <c r="G37" s="182">
        <f>SUM(G35:G36)</f>
        <v>5986.920000000001</v>
      </c>
      <c r="H37" s="194">
        <f>SUM(H35:H36)</f>
        <v>3240</v>
      </c>
      <c r="I37" s="133">
        <f>SUM(I35:I36)</f>
        <v>9226.92</v>
      </c>
      <c r="J37" s="133">
        <f>SUM(J35:J36)</f>
        <v>-1201.9200000000005</v>
      </c>
      <c r="K37" s="136" t="s">
        <v>184</v>
      </c>
    </row>
    <row r="38" spans="1:27" x14ac:dyDescent="0.25">
      <c r="A38" s="342"/>
      <c r="B38" s="195">
        <v>10159</v>
      </c>
      <c r="C38" s="110">
        <v>71500</v>
      </c>
      <c r="D38" s="110">
        <v>7500</v>
      </c>
      <c r="E38" s="110">
        <v>7504.31</v>
      </c>
      <c r="F38" s="164">
        <f>D38-E38</f>
        <v>-4.3100000000004002</v>
      </c>
      <c r="G38" s="196">
        <f>6522.29+100+85.32+92.69+69.37+136.64+498</f>
        <v>7504.3099999999995</v>
      </c>
      <c r="H38" s="110"/>
      <c r="I38" s="110">
        <f>G38+H38</f>
        <v>7504.3099999999995</v>
      </c>
      <c r="J38" s="197">
        <f>D38-I38</f>
        <v>-4.3099999999994907</v>
      </c>
      <c r="K38" s="96"/>
    </row>
    <row r="39" spans="1:27" ht="16.5" thickBot="1" x14ac:dyDescent="0.3">
      <c r="A39" s="342"/>
      <c r="B39" s="198"/>
      <c r="C39" s="124">
        <v>75100</v>
      </c>
      <c r="D39" s="124">
        <v>525</v>
      </c>
      <c r="E39" s="124">
        <v>59.02</v>
      </c>
      <c r="F39" s="146">
        <f>D39-E39</f>
        <v>465.98</v>
      </c>
      <c r="G39" s="199">
        <v>59.02</v>
      </c>
      <c r="H39" s="124">
        <f>H38*0.08</f>
        <v>0</v>
      </c>
      <c r="I39" s="124">
        <f>G39+H39</f>
        <v>59.02</v>
      </c>
      <c r="J39" s="200">
        <f>D39-I39</f>
        <v>465.98</v>
      </c>
      <c r="K39" s="96"/>
    </row>
    <row r="40" spans="1:27" ht="16.5" thickBot="1" x14ac:dyDescent="0.3">
      <c r="A40" s="342"/>
      <c r="B40" s="130" t="s">
        <v>174</v>
      </c>
      <c r="C40" s="201"/>
      <c r="D40" s="160">
        <f>D38+D39</f>
        <v>8025</v>
      </c>
      <c r="E40" s="160">
        <f>+E38+E39</f>
        <v>7563.3300000000008</v>
      </c>
      <c r="F40" s="161">
        <f>+F38+F39</f>
        <v>461.66999999999962</v>
      </c>
      <c r="G40" s="130">
        <f>SUM(G38:G39)</f>
        <v>7563.33</v>
      </c>
      <c r="H40" s="130">
        <f>SUM(H38:H39)</f>
        <v>0</v>
      </c>
      <c r="I40" s="201">
        <f>G40+H40</f>
        <v>7563.33</v>
      </c>
      <c r="J40" s="202">
        <f>D40-I40</f>
        <v>461.67000000000007</v>
      </c>
      <c r="K40" s="96"/>
    </row>
    <row r="41" spans="1:27" s="185" customFormat="1" ht="16.5" thickBot="1" x14ac:dyDescent="0.3">
      <c r="A41" s="150" t="s">
        <v>185</v>
      </c>
      <c r="B41" s="151"/>
      <c r="C41" s="151"/>
      <c r="D41" s="151">
        <f t="shared" ref="D41:J41" si="11">+D37+D40</f>
        <v>16050</v>
      </c>
      <c r="E41" s="151">
        <f t="shared" si="11"/>
        <v>13550.250000000002</v>
      </c>
      <c r="F41" s="151">
        <f t="shared" si="11"/>
        <v>2499.7499999999991</v>
      </c>
      <c r="G41" s="184">
        <f t="shared" si="11"/>
        <v>13550.25</v>
      </c>
      <c r="H41" s="184">
        <f t="shared" si="11"/>
        <v>3240</v>
      </c>
      <c r="I41" s="184">
        <f t="shared" si="11"/>
        <v>16790.25</v>
      </c>
      <c r="J41" s="184">
        <f t="shared" si="11"/>
        <v>-740.25000000000045</v>
      </c>
      <c r="K41" s="136"/>
      <c r="L41" s="137"/>
      <c r="M41" s="137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1:27" x14ac:dyDescent="0.25">
      <c r="A42" s="203"/>
      <c r="B42" s="204">
        <v>11</v>
      </c>
      <c r="C42" s="205">
        <v>71600</v>
      </c>
      <c r="D42" s="205">
        <v>0</v>
      </c>
      <c r="E42" s="205">
        <v>1164.6400000000001</v>
      </c>
      <c r="F42" s="205">
        <v>-1164.6400000000001</v>
      </c>
      <c r="G42" s="205"/>
      <c r="H42" s="205">
        <v>0</v>
      </c>
      <c r="I42" s="205">
        <f>G42+H42</f>
        <v>0</v>
      </c>
      <c r="J42" s="206">
        <f>D42-I42</f>
        <v>0</v>
      </c>
      <c r="K42" s="96"/>
    </row>
    <row r="43" spans="1:27" ht="16.5" thickBot="1" x14ac:dyDescent="0.3">
      <c r="A43" s="203"/>
      <c r="B43" s="207"/>
      <c r="C43" s="148">
        <v>74500</v>
      </c>
      <c r="D43" s="148">
        <v>0</v>
      </c>
      <c r="E43" s="148">
        <v>20.77</v>
      </c>
      <c r="F43" s="148">
        <v>-20.77</v>
      </c>
      <c r="G43" s="208"/>
      <c r="H43" s="148">
        <v>0</v>
      </c>
      <c r="I43" s="148">
        <f>G43+H43</f>
        <v>0</v>
      </c>
      <c r="J43" s="149">
        <f>D43-I43</f>
        <v>0</v>
      </c>
      <c r="K43" s="96"/>
    </row>
    <row r="44" spans="1:27" ht="16.5" thickBot="1" x14ac:dyDescent="0.3">
      <c r="A44" s="203"/>
      <c r="B44" s="162" t="s">
        <v>177</v>
      </c>
      <c r="C44" s="160"/>
      <c r="D44" s="160">
        <v>0</v>
      </c>
      <c r="E44" s="160">
        <v>1185.4100000000001</v>
      </c>
      <c r="F44" s="161">
        <v>-1185.4100000000001</v>
      </c>
      <c r="G44" s="130">
        <f>+G42+G43</f>
        <v>0</v>
      </c>
      <c r="H44" s="162">
        <f>SUM(H42:H43)</f>
        <v>0</v>
      </c>
      <c r="I44" s="162">
        <f>SUM(I42:I43)</f>
        <v>0</v>
      </c>
      <c r="J44" s="209">
        <f>SUM(J42:J43)</f>
        <v>0</v>
      </c>
      <c r="K44" s="96"/>
    </row>
    <row r="45" spans="1:27" x14ac:dyDescent="0.25">
      <c r="A45" s="350"/>
      <c r="B45" s="352">
        <v>41</v>
      </c>
      <c r="C45" s="110">
        <v>71300</v>
      </c>
      <c r="D45" s="110">
        <v>3800</v>
      </c>
      <c r="E45" s="110">
        <v>2851.93</v>
      </c>
      <c r="F45" s="164">
        <f>D45-E45</f>
        <v>948.07000000000016</v>
      </c>
      <c r="G45" s="210">
        <v>2851.93</v>
      </c>
      <c r="H45" s="211" t="e">
        <f>[1]COMPROMISOS!K9</f>
        <v>#REF!</v>
      </c>
      <c r="I45" s="212" t="e">
        <f t="shared" ref="I45:I52" si="12">G45+H45</f>
        <v>#REF!</v>
      </c>
      <c r="J45" s="206" t="e">
        <f>D45-I45</f>
        <v>#REF!</v>
      </c>
      <c r="K45" s="96"/>
    </row>
    <row r="46" spans="1:27" x14ac:dyDescent="0.25">
      <c r="A46" s="350"/>
      <c r="B46" s="353"/>
      <c r="C46" s="117">
        <v>71600</v>
      </c>
      <c r="D46" s="117">
        <v>750</v>
      </c>
      <c r="E46" s="117">
        <f>-0.43+-1164.64</f>
        <v>-1165.0700000000002</v>
      </c>
      <c r="F46" s="142">
        <f>D46-E46</f>
        <v>1915.0700000000002</v>
      </c>
      <c r="G46" s="143">
        <f>E44+0.43</f>
        <v>1185.8400000000001</v>
      </c>
      <c r="H46" s="117"/>
      <c r="I46" s="213">
        <f t="shared" si="12"/>
        <v>1185.8400000000001</v>
      </c>
      <c r="J46" s="206">
        <f t="shared" ref="J46:J52" si="13">D46-I46</f>
        <v>-435.84000000000015</v>
      </c>
      <c r="K46" s="96"/>
    </row>
    <row r="47" spans="1:27" x14ac:dyDescent="0.25">
      <c r="A47" s="350"/>
      <c r="B47" s="353"/>
      <c r="C47" s="117">
        <v>72100</v>
      </c>
      <c r="D47" s="117">
        <v>0</v>
      </c>
      <c r="E47" s="117">
        <v>178.7</v>
      </c>
      <c r="F47" s="142">
        <f t="shared" ref="F47:F52" si="14">D47-E47</f>
        <v>-178.7</v>
      </c>
      <c r="G47" s="214">
        <f>E47</f>
        <v>178.7</v>
      </c>
      <c r="H47" s="117"/>
      <c r="I47" s="213">
        <f t="shared" si="12"/>
        <v>178.7</v>
      </c>
      <c r="J47" s="206">
        <f t="shared" si="13"/>
        <v>-178.7</v>
      </c>
      <c r="K47" s="96"/>
    </row>
    <row r="48" spans="1:27" x14ac:dyDescent="0.25">
      <c r="A48" s="350"/>
      <c r="B48" s="353"/>
      <c r="C48" s="117">
        <v>72400</v>
      </c>
      <c r="D48" s="117">
        <v>100</v>
      </c>
      <c r="E48" s="117">
        <f>3.7-178.7+4.1</f>
        <v>-170.9</v>
      </c>
      <c r="F48" s="142">
        <f t="shared" si="14"/>
        <v>270.89999999999998</v>
      </c>
      <c r="G48" s="214">
        <f>-178.7+3.7+4.1</f>
        <v>-170.9</v>
      </c>
      <c r="H48" s="117"/>
      <c r="I48" s="213">
        <f t="shared" si="12"/>
        <v>-170.9</v>
      </c>
      <c r="J48" s="206">
        <f t="shared" si="13"/>
        <v>270.89999999999998</v>
      </c>
      <c r="K48" s="96"/>
    </row>
    <row r="49" spans="1:13" customFormat="1" x14ac:dyDescent="0.25">
      <c r="A49" s="350"/>
      <c r="B49" s="353"/>
      <c r="C49" s="117">
        <v>72500</v>
      </c>
      <c r="D49" s="117">
        <v>150</v>
      </c>
      <c r="E49" s="117">
        <v>30.76</v>
      </c>
      <c r="F49" s="142">
        <f t="shared" si="14"/>
        <v>119.24</v>
      </c>
      <c r="G49" s="141">
        <v>30.76</v>
      </c>
      <c r="H49" s="215"/>
      <c r="I49" s="213">
        <f t="shared" si="12"/>
        <v>30.76</v>
      </c>
      <c r="J49" s="206">
        <f t="shared" si="13"/>
        <v>119.24</v>
      </c>
      <c r="K49" s="96"/>
      <c r="L49" s="100"/>
      <c r="M49" s="100"/>
    </row>
    <row r="50" spans="1:13" customFormat="1" x14ac:dyDescent="0.25">
      <c r="A50" s="350"/>
      <c r="B50" s="353"/>
      <c r="C50" s="117">
        <v>74500</v>
      </c>
      <c r="D50" s="117">
        <v>400</v>
      </c>
      <c r="E50" s="117">
        <f>11.94+289.66+-20.77</f>
        <v>280.83000000000004</v>
      </c>
      <c r="F50" s="142">
        <f t="shared" si="14"/>
        <v>119.16999999999996</v>
      </c>
      <c r="G50" s="143">
        <f>11.94+289.66+E43</f>
        <v>322.37</v>
      </c>
      <c r="H50" s="215"/>
      <c r="I50" s="213">
        <f t="shared" si="12"/>
        <v>322.37</v>
      </c>
      <c r="J50" s="206">
        <f t="shared" si="13"/>
        <v>77.63</v>
      </c>
      <c r="K50" s="96"/>
      <c r="L50" s="100"/>
      <c r="M50" s="100"/>
    </row>
    <row r="51" spans="1:13" customFormat="1" x14ac:dyDescent="0.25">
      <c r="A51" s="350"/>
      <c r="B51" s="353"/>
      <c r="C51" s="117">
        <v>75100</v>
      </c>
      <c r="D51" s="117">
        <v>656</v>
      </c>
      <c r="E51" s="117">
        <v>20.85</v>
      </c>
      <c r="F51" s="142">
        <f t="shared" si="14"/>
        <v>635.15</v>
      </c>
      <c r="G51" s="141">
        <v>20.85</v>
      </c>
      <c r="H51" s="213" t="e">
        <f>(H45+H49+H50+H52)*0.08</f>
        <v>#REF!</v>
      </c>
      <c r="I51" s="213" t="e">
        <f t="shared" si="12"/>
        <v>#REF!</v>
      </c>
      <c r="J51" s="206" t="e">
        <f t="shared" si="13"/>
        <v>#REF!</v>
      </c>
      <c r="K51" s="96"/>
      <c r="L51" s="100"/>
      <c r="M51" s="100"/>
    </row>
    <row r="52" spans="1:13" customFormat="1" ht="16.5" thickBot="1" x14ac:dyDescent="0.3">
      <c r="A52" s="350"/>
      <c r="B52" s="354"/>
      <c r="C52" s="124">
        <v>75700</v>
      </c>
      <c r="D52" s="124">
        <v>3000</v>
      </c>
      <c r="E52" s="124">
        <v>2931.87</v>
      </c>
      <c r="F52" s="142">
        <f t="shared" si="14"/>
        <v>68.130000000000109</v>
      </c>
      <c r="G52" s="216">
        <f>1370.66+1483.86+77.35</f>
        <v>2931.87</v>
      </c>
      <c r="H52" s="217" t="e">
        <f>[1]COMPROMISOS!K12</f>
        <v>#REF!</v>
      </c>
      <c r="I52" s="218" t="e">
        <f t="shared" si="12"/>
        <v>#REF!</v>
      </c>
      <c r="J52" s="219" t="e">
        <f t="shared" si="13"/>
        <v>#REF!</v>
      </c>
      <c r="K52" s="96"/>
      <c r="L52" s="100"/>
      <c r="M52" s="100"/>
    </row>
    <row r="53" spans="1:13" customFormat="1" ht="16.5" thickBot="1" x14ac:dyDescent="0.3">
      <c r="A53" s="350"/>
      <c r="B53" s="162" t="s">
        <v>179</v>
      </c>
      <c r="C53" s="160"/>
      <c r="D53" s="131">
        <f t="shared" ref="D53:J53" si="15">SUM(D45:D52)</f>
        <v>8856</v>
      </c>
      <c r="E53" s="160">
        <f t="shared" si="15"/>
        <v>4958.9699999999993</v>
      </c>
      <c r="F53" s="161">
        <f t="shared" si="15"/>
        <v>3897.0300000000007</v>
      </c>
      <c r="G53" s="220">
        <f t="shared" si="15"/>
        <v>7351.420000000001</v>
      </c>
      <c r="H53" s="131" t="e">
        <f t="shared" si="15"/>
        <v>#REF!</v>
      </c>
      <c r="I53" s="131" t="e">
        <f t="shared" si="15"/>
        <v>#REF!</v>
      </c>
      <c r="J53" s="221" t="e">
        <f t="shared" si="15"/>
        <v>#REF!</v>
      </c>
      <c r="K53" s="222"/>
      <c r="L53" s="183"/>
      <c r="M53" s="183"/>
    </row>
    <row r="54" spans="1:13" customFormat="1" x14ac:dyDescent="0.25">
      <c r="A54" s="350"/>
      <c r="B54" s="355">
        <v>551</v>
      </c>
      <c r="C54" s="109">
        <v>71300</v>
      </c>
      <c r="D54" s="110" t="e">
        <f>16000-D56</f>
        <v>#REF!</v>
      </c>
      <c r="E54" s="110">
        <v>1597.46</v>
      </c>
      <c r="F54" s="164" t="e">
        <f t="shared" ref="F54:F63" si="16">D54-E54</f>
        <v>#REF!</v>
      </c>
      <c r="G54" s="223">
        <f>E54</f>
        <v>1597.46</v>
      </c>
      <c r="H54" s="186"/>
      <c r="I54" s="186">
        <f t="shared" ref="I54:I63" si="17">G54+H54</f>
        <v>1597.46</v>
      </c>
      <c r="J54" s="224" t="e">
        <f>D54-I54</f>
        <v>#REF!</v>
      </c>
      <c r="K54" s="96"/>
      <c r="L54" s="100"/>
      <c r="M54" s="100"/>
    </row>
    <row r="55" spans="1:13" customFormat="1" x14ac:dyDescent="0.25">
      <c r="A55" s="350"/>
      <c r="B55" s="356"/>
      <c r="C55" s="116">
        <v>71600</v>
      </c>
      <c r="D55" s="117">
        <v>750</v>
      </c>
      <c r="E55" s="117">
        <v>1127.42</v>
      </c>
      <c r="F55" s="142">
        <f t="shared" si="16"/>
        <v>-377.42000000000007</v>
      </c>
      <c r="G55" s="225">
        <f t="shared" ref="G55:G61" si="18">E55</f>
        <v>1127.42</v>
      </c>
      <c r="H55" s="213"/>
      <c r="I55" s="212">
        <f t="shared" si="17"/>
        <v>1127.42</v>
      </c>
      <c r="J55" s="206">
        <f t="shared" ref="J55:J63" si="19">D55-I55</f>
        <v>-377.42000000000007</v>
      </c>
      <c r="K55" s="96"/>
      <c r="L55" s="100"/>
      <c r="M55" s="100"/>
    </row>
    <row r="56" spans="1:13" customFormat="1" x14ac:dyDescent="0.25">
      <c r="A56" s="350"/>
      <c r="B56" s="356"/>
      <c r="C56" s="116">
        <v>72100</v>
      </c>
      <c r="D56" s="117" t="e">
        <f>'[1]REVISION '!F11</f>
        <v>#REF!</v>
      </c>
      <c r="E56" s="117">
        <v>12894.77</v>
      </c>
      <c r="F56" s="142" t="e">
        <f t="shared" si="16"/>
        <v>#REF!</v>
      </c>
      <c r="G56" s="225">
        <f t="shared" si="18"/>
        <v>12894.77</v>
      </c>
      <c r="H56" s="213"/>
      <c r="I56" s="212">
        <f t="shared" si="17"/>
        <v>12894.77</v>
      </c>
      <c r="J56" s="206" t="e">
        <f t="shared" si="19"/>
        <v>#REF!</v>
      </c>
      <c r="K56" s="96"/>
      <c r="L56" s="100"/>
      <c r="M56" s="100"/>
    </row>
    <row r="57" spans="1:13" customFormat="1" x14ac:dyDescent="0.25">
      <c r="A57" s="350"/>
      <c r="B57" s="356"/>
      <c r="C57" s="116">
        <v>72400</v>
      </c>
      <c r="D57" s="117">
        <v>100</v>
      </c>
      <c r="E57" s="117">
        <v>507.24</v>
      </c>
      <c r="F57" s="142">
        <f t="shared" si="16"/>
        <v>-407.24</v>
      </c>
      <c r="G57" s="225">
        <f t="shared" si="18"/>
        <v>507.24</v>
      </c>
      <c r="H57" s="213">
        <v>300</v>
      </c>
      <c r="I57" s="212">
        <f t="shared" si="17"/>
        <v>807.24</v>
      </c>
      <c r="J57" s="206">
        <f t="shared" si="19"/>
        <v>-707.24</v>
      </c>
      <c r="K57" s="96"/>
      <c r="L57" s="100"/>
      <c r="M57" s="100"/>
    </row>
    <row r="58" spans="1:13" customFormat="1" x14ac:dyDescent="0.25">
      <c r="A58" s="350"/>
      <c r="B58" s="356"/>
      <c r="C58" s="116">
        <v>72500</v>
      </c>
      <c r="D58" s="117">
        <v>350</v>
      </c>
      <c r="E58" s="117">
        <v>157.11000000000001</v>
      </c>
      <c r="F58" s="142">
        <f t="shared" si="16"/>
        <v>192.89</v>
      </c>
      <c r="G58" s="225">
        <f t="shared" si="18"/>
        <v>157.11000000000001</v>
      </c>
      <c r="H58" s="213">
        <v>120</v>
      </c>
      <c r="I58" s="212">
        <f t="shared" si="17"/>
        <v>277.11</v>
      </c>
      <c r="J58" s="206">
        <f t="shared" si="19"/>
        <v>72.889999999999986</v>
      </c>
      <c r="K58" s="96"/>
      <c r="L58" s="100"/>
      <c r="M58" s="100"/>
    </row>
    <row r="59" spans="1:13" customFormat="1" x14ac:dyDescent="0.25">
      <c r="A59" s="350"/>
      <c r="B59" s="356"/>
      <c r="C59" s="116">
        <v>73300</v>
      </c>
      <c r="D59" s="117">
        <v>0</v>
      </c>
      <c r="E59" s="117">
        <v>90.37</v>
      </c>
      <c r="F59" s="142">
        <f t="shared" si="16"/>
        <v>-90.37</v>
      </c>
      <c r="G59" s="225">
        <f t="shared" si="18"/>
        <v>90.37</v>
      </c>
      <c r="H59" s="213"/>
      <c r="I59" s="212">
        <f t="shared" si="17"/>
        <v>90.37</v>
      </c>
      <c r="J59" s="206">
        <f t="shared" si="19"/>
        <v>-90.37</v>
      </c>
      <c r="K59" s="96"/>
      <c r="L59" s="100"/>
      <c r="M59" s="100"/>
    </row>
    <row r="60" spans="1:13" customFormat="1" x14ac:dyDescent="0.25">
      <c r="A60" s="350"/>
      <c r="B60" s="356"/>
      <c r="C60" s="116">
        <v>74200</v>
      </c>
      <c r="D60" s="117">
        <v>1600</v>
      </c>
      <c r="E60" s="117">
        <v>0</v>
      </c>
      <c r="F60" s="142">
        <f t="shared" si="16"/>
        <v>1600</v>
      </c>
      <c r="G60" s="225">
        <f t="shared" si="18"/>
        <v>0</v>
      </c>
      <c r="H60" s="213" t="e">
        <f>[1]COMPROMISOS!K13</f>
        <v>#REF!</v>
      </c>
      <c r="I60" s="212" t="e">
        <f t="shared" si="17"/>
        <v>#REF!</v>
      </c>
      <c r="J60" s="206" t="e">
        <f t="shared" si="19"/>
        <v>#REF!</v>
      </c>
      <c r="K60" s="96" t="s">
        <v>186</v>
      </c>
      <c r="L60" s="100"/>
      <c r="M60" s="100"/>
    </row>
    <row r="61" spans="1:13" customFormat="1" x14ac:dyDescent="0.25">
      <c r="A61" s="350"/>
      <c r="B61" s="356"/>
      <c r="C61" s="116">
        <v>74500</v>
      </c>
      <c r="D61" s="117">
        <v>400</v>
      </c>
      <c r="E61" s="117">
        <v>56.12</v>
      </c>
      <c r="F61" s="142">
        <f t="shared" si="16"/>
        <v>343.88</v>
      </c>
      <c r="G61" s="225">
        <f t="shared" si="18"/>
        <v>56.12</v>
      </c>
      <c r="H61" s="213">
        <v>150</v>
      </c>
      <c r="I61" s="212">
        <f t="shared" si="17"/>
        <v>206.12</v>
      </c>
      <c r="J61" s="206">
        <f t="shared" si="19"/>
        <v>193.88</v>
      </c>
      <c r="K61" s="96"/>
      <c r="L61" s="100"/>
      <c r="M61" s="100"/>
    </row>
    <row r="62" spans="1:13" customFormat="1" x14ac:dyDescent="0.25">
      <c r="A62" s="350"/>
      <c r="B62" s="356"/>
      <c r="C62" s="116">
        <v>75100</v>
      </c>
      <c r="D62" s="117">
        <v>1624</v>
      </c>
      <c r="E62" s="117">
        <v>756.21</v>
      </c>
      <c r="F62" s="142">
        <f t="shared" si="16"/>
        <v>867.79</v>
      </c>
      <c r="G62" s="225">
        <f>E62</f>
        <v>756.21</v>
      </c>
      <c r="H62" s="213" t="e">
        <f>(H57+H60+H63)*0.08</f>
        <v>#REF!</v>
      </c>
      <c r="I62" s="212" t="e">
        <f t="shared" si="17"/>
        <v>#REF!</v>
      </c>
      <c r="J62" s="206" t="e">
        <f t="shared" si="19"/>
        <v>#REF!</v>
      </c>
      <c r="K62" s="96"/>
      <c r="L62" s="100"/>
      <c r="M62" s="100"/>
    </row>
    <row r="63" spans="1:13" customFormat="1" ht="16.5" thickBot="1" x14ac:dyDescent="0.3">
      <c r="A63" s="350"/>
      <c r="B63" s="357"/>
      <c r="C63" s="123">
        <v>75700</v>
      </c>
      <c r="D63" s="124">
        <v>4000</v>
      </c>
      <c r="E63" s="226">
        <f>1272.67+13.33</f>
        <v>1286</v>
      </c>
      <c r="F63" s="146">
        <f t="shared" si="16"/>
        <v>2714</v>
      </c>
      <c r="G63" s="227">
        <f>E63</f>
        <v>1286</v>
      </c>
      <c r="H63" s="190" t="e">
        <f>+[1]COMPROMISOS!K14</f>
        <v>#REF!</v>
      </c>
      <c r="I63" s="228" t="e">
        <f t="shared" si="17"/>
        <v>#REF!</v>
      </c>
      <c r="J63" s="229" t="e">
        <f t="shared" si="19"/>
        <v>#REF!</v>
      </c>
      <c r="K63" s="96" t="s">
        <v>187</v>
      </c>
      <c r="L63" s="100"/>
      <c r="M63" s="100"/>
    </row>
    <row r="64" spans="1:13" customFormat="1" ht="16.5" thickBot="1" x14ac:dyDescent="0.3">
      <c r="A64" s="351"/>
      <c r="B64" s="130" t="s">
        <v>172</v>
      </c>
      <c r="C64" s="160"/>
      <c r="D64" s="160" t="e">
        <f t="shared" ref="D64:J64" si="20">SUM(D54:D63)</f>
        <v>#REF!</v>
      </c>
      <c r="E64" s="160">
        <f t="shared" si="20"/>
        <v>18472.7</v>
      </c>
      <c r="F64" s="160" t="e">
        <f t="shared" si="20"/>
        <v>#REF!</v>
      </c>
      <c r="G64" s="230">
        <f t="shared" si="20"/>
        <v>18472.7</v>
      </c>
      <c r="H64" s="131" t="e">
        <f t="shared" si="20"/>
        <v>#REF!</v>
      </c>
      <c r="I64" s="131" t="e">
        <f t="shared" si="20"/>
        <v>#REF!</v>
      </c>
      <c r="J64" s="221" t="e">
        <f t="shared" si="20"/>
        <v>#REF!</v>
      </c>
      <c r="K64" s="222"/>
      <c r="L64" s="100"/>
      <c r="M64" s="100"/>
    </row>
    <row r="65" spans="1:27" s="235" customFormat="1" thickBot="1" x14ac:dyDescent="0.3">
      <c r="A65" s="150" t="s">
        <v>188</v>
      </c>
      <c r="B65" s="151"/>
      <c r="C65" s="151"/>
      <c r="D65" s="153" t="e">
        <f>+D53+D64</f>
        <v>#REF!</v>
      </c>
      <c r="E65" s="151">
        <f>+E44+E53+E64</f>
        <v>24617.08</v>
      </c>
      <c r="F65" s="151" t="e">
        <f>+F44+F53+F64</f>
        <v>#REF!</v>
      </c>
      <c r="G65" s="231">
        <f>+G64+G53+G44</f>
        <v>25824.120000000003</v>
      </c>
      <c r="H65" s="231" t="e">
        <f>+H64+H53+H44</f>
        <v>#REF!</v>
      </c>
      <c r="I65" s="231" t="e">
        <f>+I64+I53+I44</f>
        <v>#REF!</v>
      </c>
      <c r="J65" s="231" t="e">
        <f>+J64+J53+J44</f>
        <v>#REF!</v>
      </c>
      <c r="K65" s="232"/>
      <c r="L65" s="233"/>
      <c r="M65" s="233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</row>
    <row r="66" spans="1:27" x14ac:dyDescent="0.25">
      <c r="A66" s="340" t="s">
        <v>189</v>
      </c>
      <c r="B66" s="205">
        <v>551</v>
      </c>
      <c r="C66" s="205">
        <v>71500</v>
      </c>
      <c r="D66" s="205">
        <v>7500</v>
      </c>
      <c r="E66" s="205">
        <v>6412.74</v>
      </c>
      <c r="F66" s="205">
        <f>D66-E66</f>
        <v>1087.2600000000002</v>
      </c>
      <c r="G66" s="205">
        <f>1597.47+400+1213.68+391.4+275.72+542.47+1992</f>
        <v>6412.7400000000007</v>
      </c>
      <c r="H66" s="205">
        <f xml:space="preserve"> 1500*2</f>
        <v>3000</v>
      </c>
      <c r="I66" s="205">
        <f>G66+H66</f>
        <v>9412.7400000000016</v>
      </c>
      <c r="J66" s="236">
        <f>D66-I66</f>
        <v>-1912.7400000000016</v>
      </c>
      <c r="K66" s="96"/>
    </row>
    <row r="67" spans="1:27" ht="16.5" thickBot="1" x14ac:dyDescent="0.3">
      <c r="A67" s="341"/>
      <c r="B67" s="148"/>
      <c r="C67" s="148">
        <v>75100</v>
      </c>
      <c r="D67" s="148">
        <v>525</v>
      </c>
      <c r="E67" s="148">
        <v>508.63</v>
      </c>
      <c r="F67" s="148">
        <f>D67-E67</f>
        <v>16.370000000000005</v>
      </c>
      <c r="G67" s="148">
        <v>508.63</v>
      </c>
      <c r="H67" s="148">
        <f>H66*0.08</f>
        <v>240</v>
      </c>
      <c r="I67" s="158">
        <f>G67+H67</f>
        <v>748.63</v>
      </c>
      <c r="J67" s="237">
        <f>D67-I67</f>
        <v>-223.63</v>
      </c>
      <c r="K67" s="96"/>
    </row>
    <row r="68" spans="1:27" ht="16.5" thickBot="1" x14ac:dyDescent="0.3">
      <c r="A68" s="342"/>
      <c r="B68" s="130" t="s">
        <v>172</v>
      </c>
      <c r="C68" s="160"/>
      <c r="D68" s="160">
        <f>SUM(D66:D67)</f>
        <v>8025</v>
      </c>
      <c r="E68" s="160">
        <f>+E66+E67</f>
        <v>6921.37</v>
      </c>
      <c r="F68" s="161">
        <f>+F66+F67</f>
        <v>1103.6300000000001</v>
      </c>
      <c r="G68" s="162">
        <f>G66+G67</f>
        <v>6921.3700000000008</v>
      </c>
      <c r="H68" s="160">
        <f>H66+H67</f>
        <v>3240</v>
      </c>
      <c r="I68" s="160">
        <f>I66+I67</f>
        <v>10161.370000000001</v>
      </c>
      <c r="J68" s="163">
        <f>J66+J67</f>
        <v>-2136.3700000000017</v>
      </c>
      <c r="K68" s="174" t="s">
        <v>184</v>
      </c>
    </row>
    <row r="69" spans="1:27" x14ac:dyDescent="0.25">
      <c r="A69" s="341"/>
      <c r="B69" s="205">
        <v>10159</v>
      </c>
      <c r="C69" s="205">
        <v>71500</v>
      </c>
      <c r="D69" s="205">
        <v>7500</v>
      </c>
      <c r="E69" s="205">
        <v>7727.87</v>
      </c>
      <c r="F69" s="205">
        <f>D69-E69</f>
        <v>-227.86999999999989</v>
      </c>
      <c r="G69" s="205">
        <f>6522.29+100+303.42+98.15+69.37+136.64+498</f>
        <v>7727.87</v>
      </c>
      <c r="H69" s="205"/>
      <c r="I69" s="205">
        <f>G69+H69</f>
        <v>7727.87</v>
      </c>
      <c r="J69" s="236">
        <f>+D69-I69</f>
        <v>-227.86999999999989</v>
      </c>
      <c r="K69" s="96"/>
    </row>
    <row r="70" spans="1:27" ht="16.5" thickBot="1" x14ac:dyDescent="0.3">
      <c r="A70" s="341"/>
      <c r="B70" s="148"/>
      <c r="C70" s="148">
        <v>75100</v>
      </c>
      <c r="D70" s="148">
        <v>525</v>
      </c>
      <c r="E70" s="148">
        <v>64.05</v>
      </c>
      <c r="F70" s="148">
        <f>D70-E70</f>
        <v>460.95</v>
      </c>
      <c r="G70" s="148">
        <v>64.05</v>
      </c>
      <c r="H70" s="148"/>
      <c r="I70" s="158">
        <f>G70+H70</f>
        <v>64.05</v>
      </c>
      <c r="J70" s="237">
        <f>+D70-I70</f>
        <v>460.95</v>
      </c>
      <c r="K70" s="96"/>
    </row>
    <row r="71" spans="1:27" ht="16.5" thickBot="1" x14ac:dyDescent="0.3">
      <c r="A71" s="342"/>
      <c r="B71" s="178" t="s">
        <v>174</v>
      </c>
      <c r="C71" s="179"/>
      <c r="D71" s="179">
        <f>SUM(D69:D70)</f>
        <v>8025</v>
      </c>
      <c r="E71" s="179">
        <f>+E69+E70</f>
        <v>7791.92</v>
      </c>
      <c r="F71" s="238">
        <f>SUM(F69:F70)</f>
        <v>233.0800000000001</v>
      </c>
      <c r="G71" s="162">
        <f>SUM(G69:G70)</f>
        <v>7791.92</v>
      </c>
      <c r="H71" s="160">
        <f>SUM(H69:H70)</f>
        <v>0</v>
      </c>
      <c r="I71" s="160">
        <f>SUM(I69:I70)</f>
        <v>7791.92</v>
      </c>
      <c r="J71" s="163">
        <f>SUM(J69:J70)</f>
        <v>233.0800000000001</v>
      </c>
      <c r="K71" s="96"/>
    </row>
    <row r="72" spans="1:27" s="185" customFormat="1" ht="16.5" thickBot="1" x14ac:dyDescent="0.3">
      <c r="A72" s="150" t="s">
        <v>190</v>
      </c>
      <c r="B72" s="151"/>
      <c r="C72" s="151"/>
      <c r="D72" s="151">
        <f>+D68+D71</f>
        <v>16050</v>
      </c>
      <c r="E72" s="151">
        <f>+E68+E71</f>
        <v>14713.29</v>
      </c>
      <c r="F72" s="239">
        <f>+F68+F71</f>
        <v>1336.7100000000003</v>
      </c>
      <c r="G72" s="150">
        <f>+G71+G68</f>
        <v>14713.29</v>
      </c>
      <c r="H72" s="150">
        <f>+H71+H68</f>
        <v>3240</v>
      </c>
      <c r="I72" s="150">
        <f>+I71+I68</f>
        <v>17953.29</v>
      </c>
      <c r="J72" s="240">
        <f>+J71+J68</f>
        <v>-1903.2900000000016</v>
      </c>
      <c r="K72" s="96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1:27" x14ac:dyDescent="0.25">
      <c r="A73" s="349" t="s">
        <v>191</v>
      </c>
      <c r="B73" s="355">
        <v>41</v>
      </c>
      <c r="C73" s="196">
        <v>71600</v>
      </c>
      <c r="D73" s="110">
        <v>1200</v>
      </c>
      <c r="E73" s="110">
        <v>591.27</v>
      </c>
      <c r="F73" s="164">
        <f>D73-E73</f>
        <v>608.73</v>
      </c>
      <c r="G73" s="196">
        <f>E73</f>
        <v>591.27</v>
      </c>
      <c r="H73" s="241" t="e">
        <f>[1]COMPROMISOS!K15</f>
        <v>#REF!</v>
      </c>
      <c r="I73" s="241" t="e">
        <f>G73+H73</f>
        <v>#REF!</v>
      </c>
      <c r="J73" s="242" t="e">
        <f>D73-I73</f>
        <v>#REF!</v>
      </c>
      <c r="K73" s="96"/>
    </row>
    <row r="74" spans="1:27" x14ac:dyDescent="0.25">
      <c r="A74" s="342"/>
      <c r="B74" s="356"/>
      <c r="C74" s="141">
        <v>72500</v>
      </c>
      <c r="D74" s="117">
        <v>100</v>
      </c>
      <c r="E74" s="117">
        <v>0</v>
      </c>
      <c r="F74" s="142">
        <f>D74-E74</f>
        <v>100</v>
      </c>
      <c r="G74" s="210">
        <f>E74</f>
        <v>0</v>
      </c>
      <c r="H74" s="117"/>
      <c r="I74" s="243">
        <f>G74+H74</f>
        <v>0</v>
      </c>
      <c r="J74" s="244">
        <f>D74-I74</f>
        <v>100</v>
      </c>
      <c r="K74" s="96"/>
    </row>
    <row r="75" spans="1:27" x14ac:dyDescent="0.25">
      <c r="A75" s="342"/>
      <c r="B75" s="356"/>
      <c r="C75" s="141">
        <v>74500</v>
      </c>
      <c r="D75" s="117">
        <v>200</v>
      </c>
      <c r="E75" s="117">
        <v>96.76</v>
      </c>
      <c r="F75" s="142">
        <f>D75-E75</f>
        <v>103.24</v>
      </c>
      <c r="G75" s="210">
        <f>E75</f>
        <v>96.76</v>
      </c>
      <c r="H75" s="215" t="e">
        <f>[1]COMPROMISOS!K16</f>
        <v>#REF!</v>
      </c>
      <c r="I75" s="243" t="e">
        <f>G75+H75</f>
        <v>#REF!</v>
      </c>
      <c r="J75" s="244" t="e">
        <f>D75-I75</f>
        <v>#REF!</v>
      </c>
      <c r="K75" s="96"/>
    </row>
    <row r="76" spans="1:27" x14ac:dyDescent="0.25">
      <c r="A76" s="342"/>
      <c r="B76" s="356"/>
      <c r="C76" s="141">
        <v>75100</v>
      </c>
      <c r="D76" s="117">
        <v>240</v>
      </c>
      <c r="E76" s="117">
        <v>29.49</v>
      </c>
      <c r="F76" s="142">
        <f>D76-E76</f>
        <v>210.51</v>
      </c>
      <c r="G76" s="210">
        <f>E76</f>
        <v>29.49</v>
      </c>
      <c r="H76" s="213" t="e">
        <f>(H73+H75+H77)*0.08</f>
        <v>#REF!</v>
      </c>
      <c r="I76" s="243" t="e">
        <f>G76+H76</f>
        <v>#REF!</v>
      </c>
      <c r="J76" s="244" t="e">
        <f>D76-I76</f>
        <v>#REF!</v>
      </c>
      <c r="K76" s="96"/>
    </row>
    <row r="77" spans="1:27" ht="16.5" thickBot="1" x14ac:dyDescent="0.3">
      <c r="A77" s="342"/>
      <c r="B77" s="357"/>
      <c r="C77" s="199">
        <v>75700</v>
      </c>
      <c r="D77" s="124">
        <v>1500</v>
      </c>
      <c r="E77" s="124">
        <v>493.04</v>
      </c>
      <c r="F77" s="142">
        <f>D77-E77</f>
        <v>1006.96</v>
      </c>
      <c r="G77" s="245">
        <f>E77</f>
        <v>493.04</v>
      </c>
      <c r="H77" s="190" t="e">
        <f>+[1]COMPROMISOS!K17+[1]COMPROMISOS!K18</f>
        <v>#REF!</v>
      </c>
      <c r="I77" s="246" t="e">
        <f>G77+H77</f>
        <v>#REF!</v>
      </c>
      <c r="J77" s="247" t="e">
        <f>D77-I77</f>
        <v>#REF!</v>
      </c>
      <c r="K77" s="96" t="s">
        <v>192</v>
      </c>
    </row>
    <row r="78" spans="1:27" ht="16.5" thickBot="1" x14ac:dyDescent="0.3">
      <c r="A78" s="342"/>
      <c r="B78" s="130" t="s">
        <v>179</v>
      </c>
      <c r="C78" s="160"/>
      <c r="D78" s="160">
        <f t="shared" ref="D78:J78" si="21">SUM(D73:D77)</f>
        <v>3240</v>
      </c>
      <c r="E78" s="160">
        <f t="shared" si="21"/>
        <v>1210.56</v>
      </c>
      <c r="F78" s="161">
        <f t="shared" si="21"/>
        <v>2029.44</v>
      </c>
      <c r="G78" s="230">
        <f t="shared" si="21"/>
        <v>1210.56</v>
      </c>
      <c r="H78" s="131" t="e">
        <f t="shared" si="21"/>
        <v>#REF!</v>
      </c>
      <c r="I78" s="131" t="e">
        <f t="shared" si="21"/>
        <v>#REF!</v>
      </c>
      <c r="J78" s="221" t="e">
        <f t="shared" si="21"/>
        <v>#REF!</v>
      </c>
      <c r="K78" s="222"/>
    </row>
    <row r="79" spans="1:27" x14ac:dyDescent="0.25">
      <c r="A79" s="342"/>
      <c r="B79" s="355">
        <v>551</v>
      </c>
      <c r="C79" s="196">
        <v>71300</v>
      </c>
      <c r="D79" s="110">
        <v>600</v>
      </c>
      <c r="E79" s="110">
        <v>0</v>
      </c>
      <c r="F79" s="164">
        <f>D79-E79</f>
        <v>600</v>
      </c>
      <c r="G79" s="109">
        <f>E79</f>
        <v>0</v>
      </c>
      <c r="H79" s="110"/>
      <c r="I79" s="186">
        <f t="shared" ref="I79:I88" si="22">G79+H79</f>
        <v>0</v>
      </c>
      <c r="J79" s="224">
        <f>D79-I79</f>
        <v>600</v>
      </c>
      <c r="K79" s="96"/>
    </row>
    <row r="80" spans="1:27" x14ac:dyDescent="0.25">
      <c r="A80" s="342"/>
      <c r="B80" s="356"/>
      <c r="C80" s="141">
        <v>71600</v>
      </c>
      <c r="D80" s="117">
        <v>0</v>
      </c>
      <c r="E80" s="117">
        <v>336</v>
      </c>
      <c r="F80" s="142">
        <f>D80-E80</f>
        <v>-336</v>
      </c>
      <c r="G80" s="248">
        <f>E80</f>
        <v>336</v>
      </c>
      <c r="H80" s="117"/>
      <c r="I80" s="212">
        <f t="shared" si="22"/>
        <v>336</v>
      </c>
      <c r="J80" s="206">
        <f t="shared" ref="J80:J88" si="23">D80-I80</f>
        <v>-336</v>
      </c>
      <c r="K80" s="96"/>
    </row>
    <row r="81" spans="1:27" x14ac:dyDescent="0.25">
      <c r="A81" s="342"/>
      <c r="B81" s="356"/>
      <c r="C81" s="141">
        <v>72300</v>
      </c>
      <c r="D81" s="117">
        <v>3500</v>
      </c>
      <c r="E81" s="117">
        <v>7.07</v>
      </c>
      <c r="F81" s="142">
        <f t="shared" ref="F81:F88" si="24">D81-E81</f>
        <v>3492.93</v>
      </c>
      <c r="G81" s="248">
        <f t="shared" ref="G81:G88" si="25">E81</f>
        <v>7.07</v>
      </c>
      <c r="H81" s="215" t="e">
        <f>+[1]COMPROMISOS!K19</f>
        <v>#REF!</v>
      </c>
      <c r="I81" s="212" t="e">
        <f t="shared" si="22"/>
        <v>#REF!</v>
      </c>
      <c r="J81" s="206" t="e">
        <f t="shared" si="23"/>
        <v>#REF!</v>
      </c>
      <c r="K81" s="96" t="s">
        <v>193</v>
      </c>
    </row>
    <row r="82" spans="1:27" x14ac:dyDescent="0.25">
      <c r="A82" s="342"/>
      <c r="B82" s="356"/>
      <c r="C82" s="141">
        <v>72500</v>
      </c>
      <c r="D82" s="117">
        <v>100</v>
      </c>
      <c r="E82" s="117">
        <v>0</v>
      </c>
      <c r="F82" s="142">
        <f t="shared" si="24"/>
        <v>100</v>
      </c>
      <c r="G82" s="248">
        <f t="shared" si="25"/>
        <v>0</v>
      </c>
      <c r="H82" s="215"/>
      <c r="I82" s="212">
        <f t="shared" si="22"/>
        <v>0</v>
      </c>
      <c r="J82" s="206">
        <f t="shared" si="23"/>
        <v>100</v>
      </c>
      <c r="K82" s="96"/>
    </row>
    <row r="83" spans="1:27" x14ac:dyDescent="0.25">
      <c r="A83" s="342"/>
      <c r="B83" s="356"/>
      <c r="C83" s="141">
        <v>72800</v>
      </c>
      <c r="D83" s="117">
        <v>0</v>
      </c>
      <c r="E83" s="117">
        <v>132.97999999999999</v>
      </c>
      <c r="F83" s="142">
        <f t="shared" si="24"/>
        <v>-132.97999999999999</v>
      </c>
      <c r="G83" s="248">
        <f t="shared" si="25"/>
        <v>132.97999999999999</v>
      </c>
      <c r="H83" s="117"/>
      <c r="I83" s="212">
        <f t="shared" si="22"/>
        <v>132.97999999999999</v>
      </c>
      <c r="J83" s="206">
        <f t="shared" si="23"/>
        <v>-132.97999999999999</v>
      </c>
      <c r="K83" s="96"/>
    </row>
    <row r="84" spans="1:27" x14ac:dyDescent="0.25">
      <c r="A84" s="342"/>
      <c r="B84" s="356"/>
      <c r="C84" s="141">
        <v>73300</v>
      </c>
      <c r="D84" s="117">
        <v>0</v>
      </c>
      <c r="E84" s="117">
        <v>163.53</v>
      </c>
      <c r="F84" s="142">
        <f t="shared" si="24"/>
        <v>-163.53</v>
      </c>
      <c r="G84" s="248">
        <f t="shared" si="25"/>
        <v>163.53</v>
      </c>
      <c r="H84" s="117"/>
      <c r="I84" s="212">
        <f t="shared" si="22"/>
        <v>163.53</v>
      </c>
      <c r="J84" s="206">
        <f t="shared" si="23"/>
        <v>-163.53</v>
      </c>
      <c r="K84" s="96"/>
    </row>
    <row r="85" spans="1:27" x14ac:dyDescent="0.25">
      <c r="A85" s="342"/>
      <c r="B85" s="356"/>
      <c r="C85" s="141">
        <v>73400</v>
      </c>
      <c r="D85" s="117">
        <v>0</v>
      </c>
      <c r="E85" s="117">
        <v>15.39</v>
      </c>
      <c r="F85" s="142">
        <f t="shared" si="24"/>
        <v>-15.39</v>
      </c>
      <c r="G85" s="248">
        <f t="shared" si="25"/>
        <v>15.39</v>
      </c>
      <c r="H85" s="117"/>
      <c r="I85" s="212">
        <f t="shared" si="22"/>
        <v>15.39</v>
      </c>
      <c r="J85" s="206">
        <f t="shared" si="23"/>
        <v>-15.39</v>
      </c>
      <c r="K85" s="96"/>
    </row>
    <row r="86" spans="1:27" x14ac:dyDescent="0.25">
      <c r="A86" s="342"/>
      <c r="B86" s="356"/>
      <c r="C86" s="141">
        <v>74500</v>
      </c>
      <c r="D86" s="117">
        <v>300</v>
      </c>
      <c r="E86" s="117">
        <v>53.93</v>
      </c>
      <c r="F86" s="142">
        <f t="shared" si="24"/>
        <v>246.07</v>
      </c>
      <c r="G86" s="248">
        <f t="shared" si="25"/>
        <v>53.93</v>
      </c>
      <c r="H86" s="215"/>
      <c r="I86" s="212">
        <f t="shared" si="22"/>
        <v>53.93</v>
      </c>
      <c r="J86" s="206">
        <f t="shared" si="23"/>
        <v>246.07</v>
      </c>
      <c r="K86" s="96"/>
    </row>
    <row r="87" spans="1:27" x14ac:dyDescent="0.25">
      <c r="A87" s="342"/>
      <c r="B87" s="356"/>
      <c r="C87" s="141">
        <v>75100</v>
      </c>
      <c r="D87" s="117">
        <v>665</v>
      </c>
      <c r="E87" s="117">
        <v>41.06</v>
      </c>
      <c r="F87" s="142">
        <f t="shared" si="24"/>
        <v>623.94000000000005</v>
      </c>
      <c r="G87" s="248">
        <f t="shared" si="25"/>
        <v>41.06</v>
      </c>
      <c r="H87" s="213" t="e">
        <f>(H81+H88)*0.08</f>
        <v>#REF!</v>
      </c>
      <c r="I87" s="212" t="e">
        <f t="shared" si="22"/>
        <v>#REF!</v>
      </c>
      <c r="J87" s="206" t="e">
        <f t="shared" si="23"/>
        <v>#REF!</v>
      </c>
      <c r="K87" s="96"/>
    </row>
    <row r="88" spans="1:27" ht="16.5" thickBot="1" x14ac:dyDescent="0.3">
      <c r="A88" s="342"/>
      <c r="B88" s="357"/>
      <c r="C88" s="199">
        <v>75700</v>
      </c>
      <c r="D88" s="124">
        <v>5000</v>
      </c>
      <c r="E88" s="124">
        <v>2039.08</v>
      </c>
      <c r="F88" s="142">
        <f t="shared" si="24"/>
        <v>2960.92</v>
      </c>
      <c r="G88" s="248">
        <f t="shared" si="25"/>
        <v>2039.08</v>
      </c>
      <c r="H88" s="249" t="e">
        <f>+[1]COMPROMISOS!K20+[1]COMPROMISOS!K21</f>
        <v>#REF!</v>
      </c>
      <c r="I88" s="228" t="e">
        <f t="shared" si="22"/>
        <v>#REF!</v>
      </c>
      <c r="J88" s="229" t="e">
        <f t="shared" si="23"/>
        <v>#REF!</v>
      </c>
      <c r="K88" s="96" t="s">
        <v>194</v>
      </c>
    </row>
    <row r="89" spans="1:27" ht="16.5" thickBot="1" x14ac:dyDescent="0.3">
      <c r="A89" s="342"/>
      <c r="B89" s="178" t="s">
        <v>172</v>
      </c>
      <c r="C89" s="179"/>
      <c r="D89" s="179">
        <f t="shared" ref="D89:J89" si="26">SUM(D79:D88)</f>
        <v>10165</v>
      </c>
      <c r="E89" s="179">
        <f t="shared" si="26"/>
        <v>2789.04</v>
      </c>
      <c r="F89" s="179">
        <f t="shared" si="26"/>
        <v>7375.96</v>
      </c>
      <c r="G89" s="162">
        <f t="shared" si="26"/>
        <v>2789.04</v>
      </c>
      <c r="H89" s="131" t="e">
        <f t="shared" si="26"/>
        <v>#REF!</v>
      </c>
      <c r="I89" s="131" t="e">
        <f t="shared" si="26"/>
        <v>#REF!</v>
      </c>
      <c r="J89" s="221" t="e">
        <f t="shared" si="26"/>
        <v>#REF!</v>
      </c>
      <c r="K89" s="96"/>
    </row>
    <row r="90" spans="1:27" s="185" customFormat="1" ht="16.5" thickBot="1" x14ac:dyDescent="0.3">
      <c r="A90" s="150" t="s">
        <v>195</v>
      </c>
      <c r="B90" s="151"/>
      <c r="C90" s="151"/>
      <c r="D90" s="151">
        <f>+D78+D89</f>
        <v>13405</v>
      </c>
      <c r="E90" s="151">
        <f>+E78+E89</f>
        <v>3999.6</v>
      </c>
      <c r="F90" s="151">
        <f>+F78+F89</f>
        <v>9405.4</v>
      </c>
      <c r="G90" s="231">
        <f>+G89+G78</f>
        <v>3999.6</v>
      </c>
      <c r="H90" s="153" t="e">
        <f>+H89+H78</f>
        <v>#REF!</v>
      </c>
      <c r="I90" s="153" t="e">
        <f>+I89+I78</f>
        <v>#REF!</v>
      </c>
      <c r="J90" s="250" t="e">
        <f>+J89+J78</f>
        <v>#REF!</v>
      </c>
      <c r="K90" s="222"/>
      <c r="L90" s="183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1:27" ht="16.5" thickBot="1" x14ac:dyDescent="0.3">
      <c r="A91" s="363" t="s">
        <v>196</v>
      </c>
      <c r="B91" s="251">
        <v>41</v>
      </c>
      <c r="C91" s="252">
        <v>71500</v>
      </c>
      <c r="D91" s="252"/>
      <c r="E91" s="252">
        <v>5433.08</v>
      </c>
      <c r="F91" s="172">
        <f>D91-E91</f>
        <v>-5433.08</v>
      </c>
      <c r="G91" s="253">
        <v>0</v>
      </c>
      <c r="H91" s="254"/>
      <c r="I91" s="254">
        <f>G91+H91</f>
        <v>0</v>
      </c>
      <c r="J91" s="255">
        <f>D91-I91</f>
        <v>0</v>
      </c>
      <c r="K91" s="96" t="s">
        <v>197</v>
      </c>
      <c r="L91" s="256" t="s">
        <v>198</v>
      </c>
    </row>
    <row r="92" spans="1:27" ht="16.5" thickBot="1" x14ac:dyDescent="0.3">
      <c r="A92" s="364"/>
      <c r="B92" s="257" t="s">
        <v>179</v>
      </c>
      <c r="C92" s="258"/>
      <c r="D92" s="258">
        <f>D91</f>
        <v>0</v>
      </c>
      <c r="E92" s="258">
        <f>E91</f>
        <v>5433.08</v>
      </c>
      <c r="F92" s="259">
        <f>F91</f>
        <v>-5433.08</v>
      </c>
      <c r="G92" s="220">
        <f>G91</f>
        <v>0</v>
      </c>
      <c r="H92" s="131">
        <v>0</v>
      </c>
      <c r="I92" s="131">
        <f>G92+H92</f>
        <v>0</v>
      </c>
      <c r="J92" s="260">
        <f>D92-I92</f>
        <v>0</v>
      </c>
      <c r="K92" s="214"/>
    </row>
    <row r="93" spans="1:27" x14ac:dyDescent="0.25">
      <c r="A93" s="364"/>
      <c r="B93" s="109">
        <v>551</v>
      </c>
      <c r="C93" s="110">
        <v>71500</v>
      </c>
      <c r="D93" s="110">
        <v>6625</v>
      </c>
      <c r="E93" s="110">
        <v>6408.88</v>
      </c>
      <c r="F93" s="164">
        <f>D93-E93</f>
        <v>216.11999999999989</v>
      </c>
      <c r="G93" s="196">
        <f>1764.04+1337.91+341.28+392.86+265.03+247.43+2060.33</f>
        <v>6408.88</v>
      </c>
      <c r="H93" s="110">
        <v>2000</v>
      </c>
      <c r="I93" s="110">
        <f>G93+H93</f>
        <v>8408.880000000001</v>
      </c>
      <c r="J93" s="197">
        <f>D93-I93</f>
        <v>-1783.880000000001</v>
      </c>
      <c r="K93" s="96"/>
    </row>
    <row r="94" spans="1:27" ht="16.5" thickBot="1" x14ac:dyDescent="0.3">
      <c r="A94" s="364"/>
      <c r="B94" s="123"/>
      <c r="C94" s="124">
        <v>75100</v>
      </c>
      <c r="D94" s="124">
        <v>463.75</v>
      </c>
      <c r="E94" s="124">
        <v>489.64</v>
      </c>
      <c r="F94" s="146">
        <f>D94-E94</f>
        <v>-25.889999999999986</v>
      </c>
      <c r="G94" s="199">
        <v>489.64</v>
      </c>
      <c r="H94" s="124"/>
      <c r="I94" s="124">
        <f>G94+H94</f>
        <v>489.64</v>
      </c>
      <c r="J94" s="200">
        <f>D94-I94</f>
        <v>-25.889999999999986</v>
      </c>
      <c r="K94" s="96"/>
    </row>
    <row r="95" spans="1:27" ht="16.5" thickBot="1" x14ac:dyDescent="0.3">
      <c r="A95" s="364"/>
      <c r="B95" s="130" t="s">
        <v>172</v>
      </c>
      <c r="C95" s="160"/>
      <c r="D95" s="160">
        <f>SUM(D93:D94)</f>
        <v>7088.75</v>
      </c>
      <c r="E95" s="160">
        <f>+E93+E94</f>
        <v>6898.52</v>
      </c>
      <c r="F95" s="161">
        <f>+F93+F94</f>
        <v>190.2299999999999</v>
      </c>
      <c r="G95" s="162">
        <f>G93+G94</f>
        <v>6898.52</v>
      </c>
      <c r="H95" s="160">
        <f>H93+H94</f>
        <v>2000</v>
      </c>
      <c r="I95" s="160">
        <f>I93+I94</f>
        <v>8898.52</v>
      </c>
      <c r="J95" s="163">
        <f>J93+J94</f>
        <v>-1809.7700000000009</v>
      </c>
      <c r="K95" s="96"/>
    </row>
    <row r="96" spans="1:27" x14ac:dyDescent="0.25">
      <c r="A96" s="364"/>
      <c r="B96" s="109">
        <v>10159</v>
      </c>
      <c r="C96" s="110">
        <v>71500</v>
      </c>
      <c r="D96" s="110">
        <v>6250</v>
      </c>
      <c r="E96" s="110">
        <v>6861.44</v>
      </c>
      <c r="F96" s="164">
        <f>D96-E96</f>
        <v>-611.4399999999996</v>
      </c>
      <c r="G96" s="196">
        <f>5964.66+100+85.32+87.21+63.44+62.81+498</f>
        <v>6861.44</v>
      </c>
      <c r="H96" s="110"/>
      <c r="I96" s="110">
        <f>G96+H96</f>
        <v>6861.44</v>
      </c>
      <c r="J96" s="197">
        <f>D96-I96</f>
        <v>-611.4399999999996</v>
      </c>
      <c r="K96" s="96"/>
    </row>
    <row r="97" spans="1:27" ht="16.5" thickBot="1" x14ac:dyDescent="0.3">
      <c r="A97" s="364"/>
      <c r="B97" s="123"/>
      <c r="C97" s="124">
        <v>75100</v>
      </c>
      <c r="D97" s="124">
        <v>437.5</v>
      </c>
      <c r="E97" s="124">
        <v>53.94</v>
      </c>
      <c r="F97" s="146">
        <f>D97-E97</f>
        <v>383.56</v>
      </c>
      <c r="G97" s="199">
        <v>53.94</v>
      </c>
      <c r="H97" s="124"/>
      <c r="I97" s="124">
        <f>G97+H97</f>
        <v>53.94</v>
      </c>
      <c r="J97" s="261">
        <f>D97-I97</f>
        <v>383.56</v>
      </c>
      <c r="K97" s="96"/>
    </row>
    <row r="98" spans="1:27" ht="16.5" thickBot="1" x14ac:dyDescent="0.3">
      <c r="A98" s="365"/>
      <c r="B98" s="178" t="s">
        <v>174</v>
      </c>
      <c r="C98" s="179"/>
      <c r="D98" s="179">
        <f>SUM(D96:D97)</f>
        <v>6687.5</v>
      </c>
      <c r="E98" s="179">
        <f>+E96+E97</f>
        <v>6915.3799999999992</v>
      </c>
      <c r="F98" s="238">
        <f>+F96+F97</f>
        <v>-227.8799999999996</v>
      </c>
      <c r="G98" s="262">
        <f>SUM(G96:G97)</f>
        <v>6915.3799999999992</v>
      </c>
      <c r="H98" s="179">
        <f>SUM(H96:H97)</f>
        <v>0</v>
      </c>
      <c r="I98" s="179">
        <f>SUM(I96:I97)</f>
        <v>6915.3799999999992</v>
      </c>
      <c r="J98" s="263">
        <f>SUM(J96:J97)</f>
        <v>-227.8799999999996</v>
      </c>
      <c r="K98" s="96"/>
    </row>
    <row r="99" spans="1:27" s="185" customFormat="1" ht="16.5" thickBot="1" x14ac:dyDescent="0.3">
      <c r="A99" s="150" t="s">
        <v>199</v>
      </c>
      <c r="B99" s="151"/>
      <c r="C99" s="151"/>
      <c r="D99" s="151">
        <f>+D92+D95+D98</f>
        <v>13776.25</v>
      </c>
      <c r="E99" s="151">
        <f>+E92+E95+E98</f>
        <v>19246.98</v>
      </c>
      <c r="F99" s="151">
        <f>+F92+F95+F98</f>
        <v>-5470.73</v>
      </c>
      <c r="G99" s="153">
        <f>+G98+G95+G92</f>
        <v>13813.9</v>
      </c>
      <c r="H99" s="151">
        <f>+H98+H95</f>
        <v>2000</v>
      </c>
      <c r="I99" s="153">
        <f>+I98+I95+I92</f>
        <v>15813.9</v>
      </c>
      <c r="J99" s="153">
        <f>+J98+J95+J92</f>
        <v>-2037.6500000000005</v>
      </c>
      <c r="K99" s="222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27" ht="16.5" thickBot="1" x14ac:dyDescent="0.3">
      <c r="A100" s="156"/>
      <c r="B100" s="251">
        <v>11</v>
      </c>
      <c r="C100" s="252">
        <v>74500</v>
      </c>
      <c r="D100" s="252">
        <v>0</v>
      </c>
      <c r="E100" s="252">
        <v>25.76</v>
      </c>
      <c r="F100" s="172">
        <f>D100-E100</f>
        <v>-25.76</v>
      </c>
      <c r="G100" s="264"/>
      <c r="H100" s="252">
        <v>0</v>
      </c>
      <c r="I100" s="252">
        <f>G100+H100</f>
        <v>0</v>
      </c>
      <c r="J100" s="265">
        <f>D100-I100</f>
        <v>0</v>
      </c>
      <c r="K100" s="96"/>
    </row>
    <row r="101" spans="1:27" ht="16.5" thickBot="1" x14ac:dyDescent="0.3">
      <c r="A101" s="156"/>
      <c r="B101" s="130" t="s">
        <v>177</v>
      </c>
      <c r="C101" s="160"/>
      <c r="D101" s="160">
        <v>0</v>
      </c>
      <c r="E101" s="160">
        <v>25.76</v>
      </c>
      <c r="F101" s="161">
        <f>F100</f>
        <v>-25.76</v>
      </c>
      <c r="G101" s="162">
        <f>G100</f>
        <v>0</v>
      </c>
      <c r="H101" s="160">
        <f>H100</f>
        <v>0</v>
      </c>
      <c r="I101" s="160">
        <f>I100</f>
        <v>0</v>
      </c>
      <c r="J101" s="161">
        <f>J100</f>
        <v>0</v>
      </c>
      <c r="K101" s="214"/>
    </row>
    <row r="102" spans="1:27" x14ac:dyDescent="0.25">
      <c r="A102" s="366"/>
      <c r="B102" s="266">
        <v>41</v>
      </c>
      <c r="C102" s="267">
        <v>74200</v>
      </c>
      <c r="D102" s="267">
        <v>2000</v>
      </c>
      <c r="E102" s="267">
        <f>4531.84+1527.18</f>
        <v>6059.02</v>
      </c>
      <c r="F102" s="268">
        <f>D102-E102</f>
        <v>-4059.0200000000004</v>
      </c>
      <c r="G102" s="269">
        <v>1527.18</v>
      </c>
      <c r="H102" s="267"/>
      <c r="I102" s="267">
        <f>G102+H102</f>
        <v>1527.18</v>
      </c>
      <c r="J102" s="270">
        <f>D102-I102</f>
        <v>472.81999999999994</v>
      </c>
      <c r="K102" s="96"/>
    </row>
    <row r="103" spans="1:27" x14ac:dyDescent="0.25">
      <c r="A103" s="366"/>
      <c r="B103" s="116"/>
      <c r="C103" s="117">
        <v>74500</v>
      </c>
      <c r="D103" s="117">
        <v>0</v>
      </c>
      <c r="E103" s="117">
        <f>-25.76+-20.77</f>
        <v>-46.53</v>
      </c>
      <c r="F103" s="142">
        <f>D103-E103</f>
        <v>46.53</v>
      </c>
      <c r="G103" s="141">
        <f>E103+E100</f>
        <v>-20.77</v>
      </c>
      <c r="H103" s="117"/>
      <c r="I103" s="117">
        <f>G103+H103</f>
        <v>-20.77</v>
      </c>
      <c r="J103" s="144">
        <f>D103-I103</f>
        <v>20.77</v>
      </c>
      <c r="K103" s="96"/>
    </row>
    <row r="104" spans="1:27" ht="16.5" thickBot="1" x14ac:dyDescent="0.3">
      <c r="A104" s="366"/>
      <c r="B104" s="123"/>
      <c r="C104" s="124">
        <v>75100</v>
      </c>
      <c r="D104" s="124">
        <v>160</v>
      </c>
      <c r="E104" s="124">
        <v>0</v>
      </c>
      <c r="F104" s="146">
        <f>D104-E104</f>
        <v>160</v>
      </c>
      <c r="G104" s="199"/>
      <c r="H104" s="124"/>
      <c r="I104" s="124">
        <f>G104+H104</f>
        <v>0</v>
      </c>
      <c r="J104" s="261">
        <f>D104-I104</f>
        <v>160</v>
      </c>
      <c r="K104" s="96"/>
    </row>
    <row r="105" spans="1:27" ht="16.5" thickBot="1" x14ac:dyDescent="0.3">
      <c r="A105" s="366"/>
      <c r="B105" s="130" t="s">
        <v>179</v>
      </c>
      <c r="C105" s="160"/>
      <c r="D105" s="160">
        <f>SUM(D102:D104)</f>
        <v>2160</v>
      </c>
      <c r="E105" s="160">
        <f>+E102+E103</f>
        <v>6012.4900000000007</v>
      </c>
      <c r="F105" s="160">
        <f>+F102+F103+F104</f>
        <v>-3852.4900000000002</v>
      </c>
      <c r="G105" s="160">
        <f>SUM(G102:G104)</f>
        <v>1506.41</v>
      </c>
      <c r="H105" s="160">
        <f>SUM(H102:H104)</f>
        <v>0</v>
      </c>
      <c r="I105" s="160">
        <f>SUM(I102:I104)</f>
        <v>1506.41</v>
      </c>
      <c r="J105" s="160">
        <f>SUM(J102:J104)</f>
        <v>653.58999999999992</v>
      </c>
      <c r="K105" s="96"/>
    </row>
    <row r="106" spans="1:27" x14ac:dyDescent="0.25">
      <c r="A106" s="366"/>
      <c r="B106" s="109">
        <v>551</v>
      </c>
      <c r="C106" s="110">
        <v>74200</v>
      </c>
      <c r="D106" s="110">
        <v>10000</v>
      </c>
      <c r="E106" s="110">
        <v>9643.3700000000008</v>
      </c>
      <c r="F106" s="164">
        <f>D106-E106</f>
        <v>356.6299999999992</v>
      </c>
      <c r="G106" s="196">
        <f>4795.13+4848.24</f>
        <v>9643.369999999999</v>
      </c>
      <c r="H106" s="110">
        <v>1500</v>
      </c>
      <c r="I106" s="110">
        <f>G106+H106</f>
        <v>11143.369999999999</v>
      </c>
      <c r="J106" s="197">
        <f>D106-I106</f>
        <v>-1143.369999999999</v>
      </c>
      <c r="K106" s="174" t="s">
        <v>200</v>
      </c>
    </row>
    <row r="107" spans="1:27" ht="16.5" thickBot="1" x14ac:dyDescent="0.3">
      <c r="A107" s="366"/>
      <c r="B107" s="123"/>
      <c r="C107" s="124">
        <v>75100</v>
      </c>
      <c r="D107" s="124">
        <v>700</v>
      </c>
      <c r="E107" s="124">
        <v>0</v>
      </c>
      <c r="F107" s="146">
        <f>D107-E107</f>
        <v>700</v>
      </c>
      <c r="G107" s="199">
        <f>E107</f>
        <v>0</v>
      </c>
      <c r="H107" s="124">
        <f>H106*0.08</f>
        <v>120</v>
      </c>
      <c r="I107" s="124">
        <f>G107+H107</f>
        <v>120</v>
      </c>
      <c r="J107" s="261">
        <f>D107-I107</f>
        <v>580</v>
      </c>
      <c r="K107" s="96"/>
    </row>
    <row r="108" spans="1:27" ht="16.5" thickBot="1" x14ac:dyDescent="0.3">
      <c r="A108" s="367"/>
      <c r="B108" s="157" t="s">
        <v>172</v>
      </c>
      <c r="C108" s="157"/>
      <c r="D108" s="157">
        <f>SUM(D106:D107)</f>
        <v>10700</v>
      </c>
      <c r="E108" s="157">
        <f>+E106+E107</f>
        <v>9643.3700000000008</v>
      </c>
      <c r="F108" s="157">
        <f>+F106+F107</f>
        <v>1056.6299999999992</v>
      </c>
      <c r="G108" s="157">
        <f>SUM(G106:G107)</f>
        <v>9643.369999999999</v>
      </c>
      <c r="H108" s="157">
        <f>SUM(H106:H107)</f>
        <v>1620</v>
      </c>
      <c r="I108" s="157">
        <f>SUM(I106:I107)</f>
        <v>11263.369999999999</v>
      </c>
      <c r="J108" s="271">
        <f>SUM(J106:J107)</f>
        <v>-563.36999999999898</v>
      </c>
      <c r="K108" s="96"/>
    </row>
    <row r="109" spans="1:27" s="185" customFormat="1" ht="16.5" thickBot="1" x14ac:dyDescent="0.3">
      <c r="A109" s="150" t="s">
        <v>201</v>
      </c>
      <c r="B109" s="151"/>
      <c r="C109" s="151"/>
      <c r="D109" s="151">
        <f>+D105+D108</f>
        <v>12860</v>
      </c>
      <c r="E109" s="151">
        <f>+E101+E105+E108</f>
        <v>15681.620000000003</v>
      </c>
      <c r="F109" s="151">
        <f>+F101+F105+F108</f>
        <v>-2821.6200000000013</v>
      </c>
      <c r="G109" s="272">
        <f>+G108+G105+G101</f>
        <v>11149.779999999999</v>
      </c>
      <c r="H109" s="272">
        <f>+H108+H105+H101</f>
        <v>1620</v>
      </c>
      <c r="I109" s="272">
        <f>+I108+I105</f>
        <v>12769.779999999999</v>
      </c>
      <c r="J109" s="272">
        <f>+J108+J105</f>
        <v>90.220000000000937</v>
      </c>
      <c r="K109" s="96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0" spans="1:27" x14ac:dyDescent="0.25">
      <c r="A110" s="203"/>
      <c r="B110" s="266">
        <v>41</v>
      </c>
      <c r="C110" s="267">
        <v>71500</v>
      </c>
      <c r="D110" s="267">
        <v>7500</v>
      </c>
      <c r="E110" s="267"/>
      <c r="F110" s="268">
        <f>D110-E110</f>
        <v>7500</v>
      </c>
      <c r="G110" s="273"/>
      <c r="H110" s="267">
        <v>3000</v>
      </c>
      <c r="I110" s="212">
        <f>G110+H110</f>
        <v>3000</v>
      </c>
      <c r="J110" s="270">
        <f>D110-I110</f>
        <v>4500</v>
      </c>
      <c r="K110" s="214" t="s">
        <v>202</v>
      </c>
    </row>
    <row r="111" spans="1:27" x14ac:dyDescent="0.25">
      <c r="A111" s="350"/>
      <c r="B111" s="116"/>
      <c r="C111" s="117">
        <v>74500</v>
      </c>
      <c r="D111" s="117">
        <v>100</v>
      </c>
      <c r="E111" s="117"/>
      <c r="F111" s="142">
        <f>D111-E111</f>
        <v>100</v>
      </c>
      <c r="G111" s="141">
        <v>0</v>
      </c>
      <c r="H111" s="117">
        <v>3000</v>
      </c>
      <c r="I111" s="212">
        <f>G111+H111</f>
        <v>3000</v>
      </c>
      <c r="J111" s="144">
        <f>D111-I111</f>
        <v>-2900</v>
      </c>
      <c r="K111" s="96" t="s">
        <v>203</v>
      </c>
    </row>
    <row r="112" spans="1:27" ht="16.5" thickBot="1" x14ac:dyDescent="0.3">
      <c r="A112" s="350"/>
      <c r="B112" s="123"/>
      <c r="C112" s="124">
        <v>75100</v>
      </c>
      <c r="D112" s="124">
        <v>608</v>
      </c>
      <c r="E112" s="124">
        <v>0</v>
      </c>
      <c r="F112" s="146">
        <f>D112-E112</f>
        <v>608</v>
      </c>
      <c r="G112" s="199"/>
      <c r="H112" s="124">
        <f>SUM(H110:H111)*0.08</f>
        <v>480</v>
      </c>
      <c r="I112" s="212">
        <f>G112+H112</f>
        <v>480</v>
      </c>
      <c r="J112" s="261">
        <f>D112-I112</f>
        <v>128</v>
      </c>
      <c r="K112" s="96"/>
    </row>
    <row r="113" spans="1:27" ht="16.5" thickBot="1" x14ac:dyDescent="0.3">
      <c r="A113" s="350"/>
      <c r="B113" s="130" t="s">
        <v>179</v>
      </c>
      <c r="C113" s="160"/>
      <c r="D113" s="160">
        <f t="shared" ref="D113:J113" si="27">SUM(D110:D112)</f>
        <v>8208</v>
      </c>
      <c r="E113" s="160">
        <f t="shared" si="27"/>
        <v>0</v>
      </c>
      <c r="F113" s="160">
        <f t="shared" si="27"/>
        <v>8208</v>
      </c>
      <c r="G113" s="160">
        <f t="shared" si="27"/>
        <v>0</v>
      </c>
      <c r="H113" s="160">
        <f t="shared" si="27"/>
        <v>6480</v>
      </c>
      <c r="I113" s="131">
        <f t="shared" si="27"/>
        <v>6480</v>
      </c>
      <c r="J113" s="160">
        <f t="shared" si="27"/>
        <v>1728</v>
      </c>
      <c r="K113" s="96"/>
    </row>
    <row r="114" spans="1:27" x14ac:dyDescent="0.25">
      <c r="A114" s="350"/>
      <c r="B114" s="116"/>
      <c r="C114" s="117">
        <v>71200</v>
      </c>
      <c r="D114" s="117">
        <v>26000</v>
      </c>
      <c r="E114" s="117">
        <v>22581.439999999999</v>
      </c>
      <c r="F114" s="142">
        <f t="shared" ref="F114:F120" si="28">D114-E114</f>
        <v>3418.5600000000013</v>
      </c>
      <c r="G114" s="225">
        <f t="shared" ref="G114:G119" si="29">E114</f>
        <v>22581.439999999999</v>
      </c>
      <c r="H114" s="212">
        <v>13000</v>
      </c>
      <c r="I114" s="212">
        <f t="shared" ref="I114:I120" si="30">G114+H114</f>
        <v>35581.440000000002</v>
      </c>
      <c r="J114" s="206">
        <f t="shared" ref="J114:J125" si="31">D114-I114</f>
        <v>-9581.4400000000023</v>
      </c>
      <c r="K114" s="214" t="s">
        <v>234</v>
      </c>
    </row>
    <row r="115" spans="1:27" x14ac:dyDescent="0.25">
      <c r="A115" s="350"/>
      <c r="B115" s="116"/>
      <c r="C115" s="117">
        <v>71500</v>
      </c>
      <c r="D115" s="117">
        <v>7500</v>
      </c>
      <c r="E115" s="117">
        <f>1597.47+429.03+656.85+410.22+298.8+587.72+2136.58</f>
        <v>6116.67</v>
      </c>
      <c r="F115" s="142">
        <f t="shared" si="28"/>
        <v>1383.33</v>
      </c>
      <c r="G115" s="225">
        <f t="shared" si="29"/>
        <v>6116.67</v>
      </c>
      <c r="H115" s="212"/>
      <c r="I115" s="212">
        <f t="shared" si="30"/>
        <v>6116.67</v>
      </c>
      <c r="J115" s="206">
        <f t="shared" si="31"/>
        <v>1383.33</v>
      </c>
      <c r="K115" s="96"/>
    </row>
    <row r="116" spans="1:27" x14ac:dyDescent="0.25">
      <c r="A116" s="350"/>
      <c r="B116" s="116"/>
      <c r="C116" s="117">
        <v>71600</v>
      </c>
      <c r="D116" s="117">
        <v>6000</v>
      </c>
      <c r="E116" s="117">
        <f>766.3+1539+608</f>
        <v>2913.3</v>
      </c>
      <c r="F116" s="142">
        <f t="shared" si="28"/>
        <v>3086.7</v>
      </c>
      <c r="G116" s="225">
        <f t="shared" si="29"/>
        <v>2913.3</v>
      </c>
      <c r="H116" s="212"/>
      <c r="I116" s="212">
        <f t="shared" si="30"/>
        <v>2913.3</v>
      </c>
      <c r="J116" s="206">
        <f t="shared" si="31"/>
        <v>3086.7</v>
      </c>
      <c r="K116" s="96"/>
    </row>
    <row r="117" spans="1:27" x14ac:dyDescent="0.25">
      <c r="A117" s="350"/>
      <c r="B117" s="116"/>
      <c r="C117" s="117">
        <v>72715</v>
      </c>
      <c r="D117" s="117"/>
      <c r="E117" s="117">
        <v>251.19</v>
      </c>
      <c r="F117" s="142">
        <f t="shared" si="28"/>
        <v>-251.19</v>
      </c>
      <c r="G117" s="225">
        <f t="shared" si="29"/>
        <v>251.19</v>
      </c>
      <c r="H117" s="212"/>
      <c r="I117" s="212">
        <f t="shared" si="30"/>
        <v>251.19</v>
      </c>
      <c r="J117" s="206">
        <f t="shared" si="31"/>
        <v>-251.19</v>
      </c>
      <c r="K117" s="96"/>
    </row>
    <row r="118" spans="1:27" x14ac:dyDescent="0.25">
      <c r="A118" s="350"/>
      <c r="B118" s="116"/>
      <c r="C118" s="117">
        <v>73100</v>
      </c>
      <c r="D118" s="117">
        <v>0</v>
      </c>
      <c r="E118" s="117">
        <v>19.04</v>
      </c>
      <c r="F118" s="142">
        <f t="shared" si="28"/>
        <v>-19.04</v>
      </c>
      <c r="G118" s="225">
        <f t="shared" si="29"/>
        <v>19.04</v>
      </c>
      <c r="H118" s="212"/>
      <c r="I118" s="212">
        <f t="shared" si="30"/>
        <v>19.04</v>
      </c>
      <c r="J118" s="206">
        <f t="shared" si="31"/>
        <v>-19.04</v>
      </c>
      <c r="K118" s="96"/>
    </row>
    <row r="119" spans="1:27" x14ac:dyDescent="0.25">
      <c r="A119" s="350"/>
      <c r="B119" s="116"/>
      <c r="C119" s="117">
        <v>74500</v>
      </c>
      <c r="D119" s="117">
        <v>400</v>
      </c>
      <c r="E119" s="117">
        <v>0</v>
      </c>
      <c r="F119" s="142">
        <f t="shared" si="28"/>
        <v>400</v>
      </c>
      <c r="G119" s="225">
        <f t="shared" si="29"/>
        <v>0</v>
      </c>
      <c r="H119" s="212"/>
      <c r="I119" s="212">
        <f t="shared" si="30"/>
        <v>0</v>
      </c>
      <c r="J119" s="206">
        <f t="shared" si="31"/>
        <v>400</v>
      </c>
      <c r="K119" s="96"/>
    </row>
    <row r="120" spans="1:27" ht="16.5" thickBot="1" x14ac:dyDescent="0.3">
      <c r="A120" s="350"/>
      <c r="B120" s="123"/>
      <c r="C120" s="124">
        <v>75100</v>
      </c>
      <c r="D120" s="124">
        <v>2793</v>
      </c>
      <c r="E120" s="124">
        <v>2016.67</v>
      </c>
      <c r="F120" s="142">
        <f t="shared" si="28"/>
        <v>776.32999999999993</v>
      </c>
      <c r="G120" s="227">
        <v>2016.67</v>
      </c>
      <c r="H120" s="228">
        <f>SUM(H114:H119)*0.08</f>
        <v>1040</v>
      </c>
      <c r="I120" s="228">
        <f t="shared" si="30"/>
        <v>3056.67</v>
      </c>
      <c r="J120" s="229">
        <f t="shared" si="31"/>
        <v>-263.67000000000007</v>
      </c>
      <c r="K120" s="96"/>
    </row>
    <row r="121" spans="1:27" s="276" customFormat="1" thickBot="1" x14ac:dyDescent="0.3">
      <c r="A121" s="350"/>
      <c r="B121" s="130" t="s">
        <v>172</v>
      </c>
      <c r="C121" s="160"/>
      <c r="D121" s="274">
        <f t="shared" ref="D121:J121" si="32">SUM(D114:D120)</f>
        <v>42693</v>
      </c>
      <c r="E121" s="274">
        <f t="shared" si="32"/>
        <v>33898.31</v>
      </c>
      <c r="F121" s="274">
        <f t="shared" si="32"/>
        <v>8794.6900000000023</v>
      </c>
      <c r="G121" s="230">
        <f t="shared" si="32"/>
        <v>33898.31</v>
      </c>
      <c r="H121" s="131">
        <f t="shared" si="32"/>
        <v>14040</v>
      </c>
      <c r="I121" s="131">
        <f t="shared" si="32"/>
        <v>47938.310000000005</v>
      </c>
      <c r="J121" s="221">
        <f t="shared" si="32"/>
        <v>-5245.3100000000022</v>
      </c>
      <c r="K121" s="275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</row>
    <row r="122" spans="1:27" x14ac:dyDescent="0.25">
      <c r="A122" s="343"/>
      <c r="B122" s="251">
        <v>10159</v>
      </c>
      <c r="C122" s="252">
        <v>71300</v>
      </c>
      <c r="D122" s="252">
        <v>15000</v>
      </c>
      <c r="E122" s="252">
        <v>10418.67</v>
      </c>
      <c r="F122" s="172">
        <f>D122-E122</f>
        <v>4581.33</v>
      </c>
      <c r="G122" s="277">
        <f>E122</f>
        <v>10418.67</v>
      </c>
      <c r="H122" s="254">
        <v>2500</v>
      </c>
      <c r="I122" s="254">
        <f>G122+H122</f>
        <v>12918.67</v>
      </c>
      <c r="J122" s="278">
        <f>D122-I122</f>
        <v>2081.33</v>
      </c>
      <c r="K122" s="214" t="s">
        <v>230</v>
      </c>
    </row>
    <row r="123" spans="1:27" x14ac:dyDescent="0.25">
      <c r="A123" s="343"/>
      <c r="B123" s="248"/>
      <c r="C123" s="205">
        <v>71500</v>
      </c>
      <c r="D123" s="205"/>
      <c r="E123" s="225">
        <f>3498.12+200+243.34+193.78+148.67+292.62+996</f>
        <v>5572.53</v>
      </c>
      <c r="F123" s="117">
        <f>D123-E123</f>
        <v>-5572.53</v>
      </c>
      <c r="G123" s="213">
        <f>E123</f>
        <v>5572.53</v>
      </c>
      <c r="H123" s="213">
        <v>3000</v>
      </c>
      <c r="I123" s="213">
        <f>G123+H123</f>
        <v>8572.5299999999988</v>
      </c>
      <c r="J123" s="279">
        <f t="shared" si="31"/>
        <v>-8572.5299999999988</v>
      </c>
      <c r="K123" s="214"/>
    </row>
    <row r="124" spans="1:27" x14ac:dyDescent="0.25">
      <c r="A124" s="343"/>
      <c r="B124" s="116"/>
      <c r="C124" s="117">
        <v>71600</v>
      </c>
      <c r="D124" s="117">
        <v>4500</v>
      </c>
      <c r="E124" s="225">
        <v>2199.79</v>
      </c>
      <c r="F124" s="117">
        <f>D124-E124</f>
        <v>2300.21</v>
      </c>
      <c r="G124" s="213">
        <f>E124</f>
        <v>2199.79</v>
      </c>
      <c r="H124" s="213">
        <v>2000</v>
      </c>
      <c r="I124" s="213">
        <f>G124+H124</f>
        <v>4199.79</v>
      </c>
      <c r="J124" s="279">
        <f t="shared" si="31"/>
        <v>300.21000000000004</v>
      </c>
      <c r="K124" s="214"/>
    </row>
    <row r="125" spans="1:27" ht="16.5" thickBot="1" x14ac:dyDescent="0.3">
      <c r="A125" s="343"/>
      <c r="B125" s="280"/>
      <c r="C125" s="148">
        <v>75100</v>
      </c>
      <c r="D125" s="148">
        <v>1365</v>
      </c>
      <c r="E125" s="281">
        <v>128.72999999999999</v>
      </c>
      <c r="F125" s="148">
        <f>D125-E125</f>
        <v>1236.27</v>
      </c>
      <c r="G125" s="213">
        <f>E125</f>
        <v>128.72999999999999</v>
      </c>
      <c r="H125" s="282">
        <f>SUM(H122:H124)*0.08</f>
        <v>600</v>
      </c>
      <c r="I125" s="213">
        <f>G125+H125</f>
        <v>728.73</v>
      </c>
      <c r="J125" s="283">
        <f t="shared" si="31"/>
        <v>636.27</v>
      </c>
      <c r="K125" s="214"/>
    </row>
    <row r="126" spans="1:27" ht="16.5" thickBot="1" x14ac:dyDescent="0.3">
      <c r="A126" s="346"/>
      <c r="B126" s="130" t="s">
        <v>174</v>
      </c>
      <c r="C126" s="160"/>
      <c r="D126" s="160">
        <f t="shared" ref="D126:J126" si="33">SUM(D122:D125)</f>
        <v>20865</v>
      </c>
      <c r="E126" s="160">
        <f t="shared" si="33"/>
        <v>18319.72</v>
      </c>
      <c r="F126" s="160">
        <f t="shared" si="33"/>
        <v>2545.2800000000002</v>
      </c>
      <c r="G126" s="230">
        <f t="shared" si="33"/>
        <v>18319.72</v>
      </c>
      <c r="H126" s="230">
        <f t="shared" si="33"/>
        <v>8100</v>
      </c>
      <c r="I126" s="230">
        <f t="shared" si="33"/>
        <v>26419.719999999998</v>
      </c>
      <c r="J126" s="284">
        <f t="shared" si="33"/>
        <v>-5554.7199999999993</v>
      </c>
      <c r="K126" s="285"/>
    </row>
    <row r="127" spans="1:27" s="235" customFormat="1" thickBot="1" x14ac:dyDescent="0.3">
      <c r="A127" s="150" t="s">
        <v>204</v>
      </c>
      <c r="B127" s="151"/>
      <c r="C127" s="151"/>
      <c r="D127" s="286">
        <f>+D121+D126+D113</f>
        <v>71766</v>
      </c>
      <c r="E127" s="286">
        <f>+E121+E126+E113</f>
        <v>52218.03</v>
      </c>
      <c r="F127" s="286">
        <f>+F121+F126+F113</f>
        <v>19547.97</v>
      </c>
      <c r="G127" s="287">
        <f>+G126+G121+G113</f>
        <v>52218.03</v>
      </c>
      <c r="H127" s="287">
        <f>+H126+H121+H113</f>
        <v>28620</v>
      </c>
      <c r="I127" s="287">
        <f>+I126+I121+I113</f>
        <v>80838.03</v>
      </c>
      <c r="J127" s="287">
        <f>+J126+J121+J113</f>
        <v>-9072.0300000000025</v>
      </c>
      <c r="K127" s="275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</row>
    <row r="128" spans="1:27" x14ac:dyDescent="0.25">
      <c r="A128" s="358" t="s">
        <v>205</v>
      </c>
      <c r="B128" s="360">
        <v>41</v>
      </c>
      <c r="C128" s="110">
        <v>71600</v>
      </c>
      <c r="D128" s="110">
        <v>700</v>
      </c>
      <c r="E128" s="110">
        <v>0</v>
      </c>
      <c r="F128" s="164">
        <f>D128-E128</f>
        <v>700</v>
      </c>
      <c r="G128" s="196"/>
      <c r="H128" s="110">
        <v>203</v>
      </c>
      <c r="I128" s="110">
        <f>G128+H128</f>
        <v>203</v>
      </c>
      <c r="J128" s="197">
        <f>D128-I128</f>
        <v>497</v>
      </c>
      <c r="K128" s="96"/>
    </row>
    <row r="129" spans="1:27 16384:16384" x14ac:dyDescent="0.25">
      <c r="A129" s="359"/>
      <c r="B129" s="361"/>
      <c r="C129" s="117">
        <v>72100</v>
      </c>
      <c r="D129" s="117">
        <v>30000</v>
      </c>
      <c r="E129" s="117">
        <v>0</v>
      </c>
      <c r="F129" s="142">
        <f>D129-E129</f>
        <v>30000</v>
      </c>
      <c r="G129" s="141">
        <f>E129</f>
        <v>0</v>
      </c>
      <c r="H129" s="215" t="e">
        <f>+[1]COMPROMISOS!I24+[1]COMPROMISOS!I25+[1]COMPROMISOS!I26+[1]COMPROMISOS!I27</f>
        <v>#REF!</v>
      </c>
      <c r="I129" s="215" t="e">
        <f>G129+H129</f>
        <v>#REF!</v>
      </c>
      <c r="J129" s="288" t="e">
        <f>D129-I129</f>
        <v>#REF!</v>
      </c>
      <c r="K129" s="174" t="s">
        <v>206</v>
      </c>
    </row>
    <row r="130" spans="1:27 16384:16384" x14ac:dyDescent="0.25">
      <c r="A130" s="359"/>
      <c r="B130" s="361"/>
      <c r="C130" s="117">
        <v>74200</v>
      </c>
      <c r="D130" s="117"/>
      <c r="E130" s="117"/>
      <c r="F130" s="142">
        <f>D130-E130</f>
        <v>0</v>
      </c>
      <c r="G130" s="143">
        <f>4531.84</f>
        <v>4531.84</v>
      </c>
      <c r="H130" s="215" t="e">
        <f>[1]COMPROMISOS!K22</f>
        <v>#REF!</v>
      </c>
      <c r="I130" s="289" t="e">
        <f>G130+H130</f>
        <v>#REF!</v>
      </c>
      <c r="J130" s="288" t="e">
        <f>D130-I130</f>
        <v>#REF!</v>
      </c>
      <c r="K130" s="96" t="s">
        <v>207</v>
      </c>
    </row>
    <row r="131" spans="1:27 16384:16384" x14ac:dyDescent="0.25">
      <c r="A131" s="359"/>
      <c r="B131" s="361"/>
      <c r="C131" s="117">
        <v>75100</v>
      </c>
      <c r="D131" s="117">
        <v>2881.6</v>
      </c>
      <c r="E131" s="117">
        <v>0</v>
      </c>
      <c r="F131" s="142">
        <f>D131-E131</f>
        <v>2881.6</v>
      </c>
      <c r="G131" s="141">
        <f>E131</f>
        <v>0</v>
      </c>
      <c r="H131" s="213" t="e">
        <f>(+H128+H129+H130)*0.08</f>
        <v>#REF!</v>
      </c>
      <c r="I131" s="213" t="e">
        <f>G131+H131</f>
        <v>#REF!</v>
      </c>
      <c r="J131" s="288" t="e">
        <f>D131-I131</f>
        <v>#REF!</v>
      </c>
      <c r="K131" s="96"/>
    </row>
    <row r="132" spans="1:27 16384:16384" ht="16.5" thickBot="1" x14ac:dyDescent="0.3">
      <c r="A132" s="359"/>
      <c r="B132" s="362"/>
      <c r="C132" s="124">
        <v>75700</v>
      </c>
      <c r="D132" s="124">
        <v>5320</v>
      </c>
      <c r="E132" s="124">
        <v>591.26</v>
      </c>
      <c r="F132" s="142">
        <f>D132-E132</f>
        <v>4728.74</v>
      </c>
      <c r="G132" s="199">
        <f>591.26</f>
        <v>591.26</v>
      </c>
      <c r="H132" s="290"/>
      <c r="I132" s="290">
        <f>G132+H132</f>
        <v>591.26</v>
      </c>
      <c r="J132" s="291">
        <f>D132-I132</f>
        <v>4728.74</v>
      </c>
      <c r="K132" s="96"/>
      <c r="L132" s="292"/>
    </row>
    <row r="133" spans="1:27 16384:16384" ht="16.5" thickBot="1" x14ac:dyDescent="0.3">
      <c r="A133" s="359"/>
      <c r="B133" s="130" t="s">
        <v>179</v>
      </c>
      <c r="C133" s="160"/>
      <c r="D133" s="160">
        <f t="shared" ref="D133:J133" si="34">SUM(D128:D132)</f>
        <v>38901.599999999999</v>
      </c>
      <c r="E133" s="160">
        <f t="shared" si="34"/>
        <v>591.26</v>
      </c>
      <c r="F133" s="160">
        <f t="shared" si="34"/>
        <v>38310.339999999997</v>
      </c>
      <c r="G133" s="293">
        <f t="shared" si="34"/>
        <v>5123.1000000000004</v>
      </c>
      <c r="H133" s="157" t="e">
        <f t="shared" si="34"/>
        <v>#REF!</v>
      </c>
      <c r="I133" s="157" t="e">
        <f t="shared" si="34"/>
        <v>#REF!</v>
      </c>
      <c r="J133" s="294" t="e">
        <f t="shared" si="34"/>
        <v>#REF!</v>
      </c>
      <c r="K133" s="96"/>
      <c r="L133" s="183"/>
    </row>
    <row r="134" spans="1:27 16384:16384" x14ac:dyDescent="0.25">
      <c r="A134" s="359"/>
      <c r="B134" s="360">
        <v>551</v>
      </c>
      <c r="C134" s="110">
        <v>71600</v>
      </c>
      <c r="D134" s="110">
        <v>1400</v>
      </c>
      <c r="E134" s="110">
        <v>2352.09</v>
      </c>
      <c r="F134" s="164">
        <f>D134-E134</f>
        <v>-952.09000000000015</v>
      </c>
      <c r="G134" s="109">
        <f>E134</f>
        <v>2352.09</v>
      </c>
      <c r="H134" s="110"/>
      <c r="I134" s="110">
        <f>+G134+H134</f>
        <v>2352.09</v>
      </c>
      <c r="J134" s="197">
        <f>+D134-I134</f>
        <v>-952.09000000000015</v>
      </c>
      <c r="K134" s="96"/>
      <c r="L134" s="183"/>
    </row>
    <row r="135" spans="1:27 16384:16384" x14ac:dyDescent="0.25">
      <c r="A135" s="359"/>
      <c r="B135" s="361"/>
      <c r="C135" s="117">
        <v>72100</v>
      </c>
      <c r="D135" s="117">
        <v>10000</v>
      </c>
      <c r="E135" s="117">
        <v>0</v>
      </c>
      <c r="F135" s="142">
        <f>D135-E135</f>
        <v>10000</v>
      </c>
      <c r="G135" s="116">
        <f>E135</f>
        <v>0</v>
      </c>
      <c r="H135" s="295" t="e">
        <f>+[1]COMPROMISOS!I23</f>
        <v>#REF!</v>
      </c>
      <c r="I135" s="213" t="e">
        <f>+G135+H135</f>
        <v>#REF!</v>
      </c>
      <c r="J135" s="296" t="e">
        <f>+D135-I135</f>
        <v>#REF!</v>
      </c>
      <c r="K135" s="174" t="s">
        <v>208</v>
      </c>
    </row>
    <row r="136" spans="1:27 16384:16384" x14ac:dyDescent="0.25">
      <c r="A136" s="359"/>
      <c r="B136" s="361"/>
      <c r="C136" s="117">
        <v>74200</v>
      </c>
      <c r="D136" s="117"/>
      <c r="E136" s="117">
        <v>1260.1400000000001</v>
      </c>
      <c r="F136" s="142">
        <f>D136-E136</f>
        <v>-1260.1400000000001</v>
      </c>
      <c r="G136" s="116">
        <f>E136</f>
        <v>1260.1400000000001</v>
      </c>
      <c r="H136" s="121"/>
      <c r="I136" s="121">
        <f>+G136+H136</f>
        <v>1260.1400000000001</v>
      </c>
      <c r="J136" s="122">
        <f>+D136-I136</f>
        <v>-1260.1400000000001</v>
      </c>
      <c r="K136" s="96"/>
      <c r="L136" s="183"/>
    </row>
    <row r="137" spans="1:27 16384:16384" ht="16.5" thickBot="1" x14ac:dyDescent="0.3">
      <c r="A137" s="359"/>
      <c r="B137" s="362"/>
      <c r="C137" s="124">
        <v>75100</v>
      </c>
      <c r="D137" s="124">
        <v>798</v>
      </c>
      <c r="E137" s="124">
        <v>869.16</v>
      </c>
      <c r="F137" s="142">
        <f>D137-E137</f>
        <v>-71.159999999999968</v>
      </c>
      <c r="G137" s="123">
        <f>E137</f>
        <v>869.16</v>
      </c>
      <c r="H137" s="190" t="e">
        <f>H135*0.08</f>
        <v>#REF!</v>
      </c>
      <c r="I137" s="190" t="e">
        <f>+G137+H137</f>
        <v>#REF!</v>
      </c>
      <c r="J137" s="297" t="e">
        <f>+D137-I137</f>
        <v>#REF!</v>
      </c>
      <c r="K137" s="96"/>
    </row>
    <row r="138" spans="1:27 16384:16384" ht="16.5" thickBot="1" x14ac:dyDescent="0.3">
      <c r="A138" s="359"/>
      <c r="B138" s="178" t="s">
        <v>172</v>
      </c>
      <c r="C138" s="179"/>
      <c r="D138" s="179">
        <f t="shared" ref="D138:J138" si="35">SUM(D134:D137)</f>
        <v>12198</v>
      </c>
      <c r="E138" s="179">
        <f t="shared" si="35"/>
        <v>4481.3900000000003</v>
      </c>
      <c r="F138" s="179">
        <f t="shared" si="35"/>
        <v>7716.61</v>
      </c>
      <c r="G138" s="262">
        <f t="shared" si="35"/>
        <v>4481.3900000000003</v>
      </c>
      <c r="H138" s="179" t="e">
        <f t="shared" si="35"/>
        <v>#REF!</v>
      </c>
      <c r="I138" s="179" t="e">
        <f t="shared" si="35"/>
        <v>#REF!</v>
      </c>
      <c r="J138" s="298" t="e">
        <f t="shared" si="35"/>
        <v>#REF!</v>
      </c>
      <c r="K138" s="96"/>
    </row>
    <row r="139" spans="1:27 16384:16384" s="235" customFormat="1" thickBot="1" x14ac:dyDescent="0.3">
      <c r="A139" s="150" t="s">
        <v>209</v>
      </c>
      <c r="B139" s="151"/>
      <c r="C139" s="151"/>
      <c r="D139" s="151">
        <f>+D133+D138</f>
        <v>51099.6</v>
      </c>
      <c r="E139" s="151">
        <f>+E133+E138</f>
        <v>5072.6500000000005</v>
      </c>
      <c r="F139" s="151">
        <f>+F133+F138</f>
        <v>46026.95</v>
      </c>
      <c r="G139" s="151">
        <f>G138+G133</f>
        <v>9604.4900000000016</v>
      </c>
      <c r="H139" s="151" t="e">
        <f>H138+H133</f>
        <v>#REF!</v>
      </c>
      <c r="I139" s="151" t="e">
        <f>I138+I133</f>
        <v>#REF!</v>
      </c>
      <c r="J139" s="250" t="e">
        <f>J138+J133</f>
        <v>#REF!</v>
      </c>
      <c r="K139" s="299"/>
      <c r="L139" s="233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XFD139" s="300">
        <f>XFD138+XFD133</f>
        <v>0</v>
      </c>
    </row>
    <row r="140" spans="1:27 16384:16384" ht="16.5" thickBot="1" x14ac:dyDescent="0.3">
      <c r="A140" s="130" t="s">
        <v>210</v>
      </c>
      <c r="B140" s="160"/>
      <c r="C140" s="160"/>
      <c r="D140" s="131" t="e">
        <f>+D14+D34+D41+D65+D72+D90+D99+D109+D127+D139</f>
        <v>#REF!</v>
      </c>
      <c r="E140" s="131">
        <f>+E14+E34+E41+E65+E72+E90+E99+E109+E127+E139+E144</f>
        <v>213511.82</v>
      </c>
      <c r="F140" s="131" t="e">
        <f>+F14+F34+F41+F65+F72+F90+F99+F109+F127+F139</f>
        <v>#REF!</v>
      </c>
      <c r="G140" s="133" t="e">
        <f>+G14+G34+G41+G65+G72+G90+G99+G109+G127+G139+E144</f>
        <v>#REF!</v>
      </c>
      <c r="H140" s="133" t="e">
        <f>+H14+H34+H41+H65+H72+H90+H99+H109+H127+H139+F144</f>
        <v>#REF!</v>
      </c>
      <c r="I140" s="133" t="e">
        <f>+I14+I34+I41+I65+I72+I90+I99+I109+I127+I139+G144+E144</f>
        <v>#REF!</v>
      </c>
      <c r="J140" s="133" t="e">
        <f>+J14+J34+J41+J65+J72+J90+J99+J109+J127+J139+F144</f>
        <v>#REF!</v>
      </c>
      <c r="K140" s="136"/>
      <c r="L140" s="183"/>
      <c r="M140" s="137"/>
    </row>
    <row r="141" spans="1:27 16384:16384" x14ac:dyDescent="0.25">
      <c r="C141" s="276" t="s">
        <v>211</v>
      </c>
      <c r="D141">
        <f>+D14+D41+D72+D99+D127</f>
        <v>177187.75</v>
      </c>
      <c r="E141">
        <f>+E14+E41+E72+E99+E127</f>
        <v>138632.15999999997</v>
      </c>
      <c r="F141">
        <f>D141-E141</f>
        <v>38555.590000000026</v>
      </c>
      <c r="G141">
        <f>+G14+G41+G72+G99+G127</f>
        <v>138632.16</v>
      </c>
      <c r="H141">
        <f>+H14+H41+H72+H99+H127</f>
        <v>43580</v>
      </c>
      <c r="I141">
        <f>+G141+H141</f>
        <v>182212.16</v>
      </c>
      <c r="J141" s="301">
        <f>+J14+J41+J72+J99+J127</f>
        <v>-5024.4100000000053</v>
      </c>
    </row>
    <row r="142" spans="1:27 16384:16384" x14ac:dyDescent="0.25">
      <c r="C142" s="276" t="s">
        <v>121</v>
      </c>
      <c r="D142" s="302" t="e">
        <f>D34+D65+D90+D109+D139</f>
        <v>#REF!</v>
      </c>
      <c r="E142" s="302">
        <f>E34+E65+E90+E109+E139</f>
        <v>74898.079999999987</v>
      </c>
      <c r="F142" s="302" t="e">
        <f>D142-E142</f>
        <v>#REF!</v>
      </c>
      <c r="G142" s="302" t="e">
        <f>G34+G65+G90+G109+G139</f>
        <v>#REF!</v>
      </c>
      <c r="H142" s="302" t="e">
        <f>H34+H65+H90+H109+H139</f>
        <v>#REF!</v>
      </c>
      <c r="I142" s="302" t="e">
        <f>+G142+H142</f>
        <v>#REF!</v>
      </c>
      <c r="J142" s="303" t="e">
        <f>J34+J65+J90+J109+J139</f>
        <v>#REF!</v>
      </c>
    </row>
    <row r="143" spans="1:27 16384:16384" x14ac:dyDescent="0.25">
      <c r="D143" s="302" t="e">
        <f>SUM(D141:D142)</f>
        <v>#REF!</v>
      </c>
      <c r="E143" s="302">
        <f>SUM(E141:E142)</f>
        <v>213530.23999999996</v>
      </c>
      <c r="F143" s="302" t="e">
        <f>SUM(F141:F142)</f>
        <v>#REF!</v>
      </c>
      <c r="G143" s="302" t="e">
        <f>SUM(G141:G142)+E144</f>
        <v>#REF!</v>
      </c>
      <c r="H143" s="302" t="e">
        <f>SUM(H141:H142)</f>
        <v>#REF!</v>
      </c>
      <c r="I143" s="302" t="e">
        <f>SUM(I141:I142)+E144</f>
        <v>#REF!</v>
      </c>
      <c r="J143" s="302" t="e">
        <f>SUM(J141:J142)</f>
        <v>#REF!</v>
      </c>
    </row>
    <row r="144" spans="1:27 16384:16384" x14ac:dyDescent="0.25">
      <c r="D144" t="s">
        <v>212</v>
      </c>
      <c r="E144">
        <v>-18.420000000000002</v>
      </c>
      <c r="F144" s="304"/>
      <c r="G144" s="302"/>
      <c r="H144" s="302"/>
      <c r="I144" s="302"/>
      <c r="J144" s="302"/>
    </row>
    <row r="145" spans="3:10" customFormat="1" x14ac:dyDescent="0.25">
      <c r="E145" s="302"/>
      <c r="G145" s="304"/>
      <c r="I145" s="304"/>
      <c r="J145" s="304"/>
    </row>
    <row r="146" spans="3:10" customFormat="1" x14ac:dyDescent="0.25">
      <c r="E146" s="302">
        <v>213532.56</v>
      </c>
      <c r="G146" s="304"/>
      <c r="J146" s="304"/>
    </row>
    <row r="147" spans="3:10" customFormat="1" x14ac:dyDescent="0.25">
      <c r="E147" s="302">
        <f>E146-E140</f>
        <v>20.739999999990687</v>
      </c>
      <c r="H147" s="302"/>
    </row>
    <row r="148" spans="3:10" customFormat="1" x14ac:dyDescent="0.25">
      <c r="J148" s="304"/>
    </row>
    <row r="149" spans="3:10" customFormat="1" x14ac:dyDescent="0.25">
      <c r="C149" s="117">
        <v>41</v>
      </c>
      <c r="D149" s="213">
        <f t="shared" ref="D149:J149" si="36">D23+D53+D78+D105+D113+D133</f>
        <v>75189.600000000006</v>
      </c>
      <c r="E149" s="213">
        <f t="shared" si="36"/>
        <v>15421.17</v>
      </c>
      <c r="F149" s="213">
        <f t="shared" si="36"/>
        <v>59768.43</v>
      </c>
      <c r="G149" s="213" t="e">
        <f t="shared" si="36"/>
        <v>#REF!</v>
      </c>
      <c r="H149" s="213" t="e">
        <f t="shared" si="36"/>
        <v>#REF!</v>
      </c>
      <c r="I149" s="213" t="e">
        <f t="shared" si="36"/>
        <v>#REF!</v>
      </c>
      <c r="J149" s="213" t="e">
        <f t="shared" si="36"/>
        <v>#REF!</v>
      </c>
    </row>
    <row r="150" spans="3:10" customFormat="1" x14ac:dyDescent="0.25">
      <c r="C150" s="117">
        <v>551</v>
      </c>
      <c r="D150" s="213" t="e">
        <f t="shared" ref="D150:J150" si="37">+D8+D33+D37+D64+D68+D89+D95+D108+D121+D138</f>
        <v>#REF!</v>
      </c>
      <c r="E150" s="213">
        <f t="shared" si="37"/>
        <v>133228.69999999998</v>
      </c>
      <c r="F150" s="213" t="e">
        <f t="shared" si="37"/>
        <v>#REF!</v>
      </c>
      <c r="G150" s="213">
        <f t="shared" si="37"/>
        <v>130214.36999999998</v>
      </c>
      <c r="H150" s="213" t="e">
        <f t="shared" si="37"/>
        <v>#REF!</v>
      </c>
      <c r="I150" s="213" t="e">
        <f t="shared" si="37"/>
        <v>#REF!</v>
      </c>
      <c r="J150" s="213" t="e">
        <f t="shared" si="37"/>
        <v>#REF!</v>
      </c>
    </row>
    <row r="151" spans="3:10" customFormat="1" x14ac:dyDescent="0.25">
      <c r="C151" s="117">
        <v>10159</v>
      </c>
      <c r="D151" s="213">
        <f t="shared" ref="D151:J151" si="38">+D13+D40+D71+D98+D126</f>
        <v>74097.5</v>
      </c>
      <c r="E151" s="213">
        <f t="shared" si="38"/>
        <v>56715.199999999997</v>
      </c>
      <c r="F151" s="213">
        <f t="shared" si="38"/>
        <v>17382.300000000003</v>
      </c>
      <c r="G151" s="213">
        <f t="shared" si="38"/>
        <v>62383.119999999995</v>
      </c>
      <c r="H151" s="213">
        <f t="shared" si="38"/>
        <v>8100</v>
      </c>
      <c r="I151" s="213">
        <f t="shared" si="38"/>
        <v>70483.12</v>
      </c>
      <c r="J151" s="213">
        <f t="shared" si="38"/>
        <v>3614.380000000001</v>
      </c>
    </row>
    <row r="152" spans="3:10" customFormat="1" x14ac:dyDescent="0.25">
      <c r="D152" s="303" t="e">
        <f t="shared" ref="D152:J152" si="39">SUM(D149:D151)</f>
        <v>#REF!</v>
      </c>
      <c r="E152" s="303">
        <f t="shared" si="39"/>
        <v>205365.07</v>
      </c>
      <c r="F152" s="303" t="e">
        <f t="shared" si="39"/>
        <v>#REF!</v>
      </c>
      <c r="G152" s="303" t="e">
        <f t="shared" si="39"/>
        <v>#REF!</v>
      </c>
      <c r="H152" s="303" t="e">
        <f t="shared" si="39"/>
        <v>#REF!</v>
      </c>
      <c r="I152" s="303" t="e">
        <f t="shared" si="39"/>
        <v>#REF!</v>
      </c>
      <c r="J152" s="303" t="e">
        <f t="shared" si="39"/>
        <v>#REF!</v>
      </c>
    </row>
    <row r="153" spans="3:10" customFormat="1" x14ac:dyDescent="0.25">
      <c r="E153" s="302"/>
      <c r="G153" s="303" t="e">
        <f>G152-G143</f>
        <v>#REF!</v>
      </c>
      <c r="H153" s="276"/>
      <c r="I153" s="303" t="e">
        <f>I152-I143</f>
        <v>#REF!</v>
      </c>
    </row>
  </sheetData>
  <mergeCells count="21">
    <mergeCell ref="A128:A138"/>
    <mergeCell ref="B128:B132"/>
    <mergeCell ref="B134:B137"/>
    <mergeCell ref="A73:A89"/>
    <mergeCell ref="B73:B77"/>
    <mergeCell ref="B79:B88"/>
    <mergeCell ref="A91:A98"/>
    <mergeCell ref="A102:A108"/>
    <mergeCell ref="A111:A126"/>
    <mergeCell ref="A66:A71"/>
    <mergeCell ref="A4:A13"/>
    <mergeCell ref="B4:B7"/>
    <mergeCell ref="B9:B12"/>
    <mergeCell ref="A17:A33"/>
    <mergeCell ref="B17:B22"/>
    <mergeCell ref="B24:B32"/>
    <mergeCell ref="A35:A40"/>
    <mergeCell ref="B35:B36"/>
    <mergeCell ref="A45:A64"/>
    <mergeCell ref="B45:B52"/>
    <mergeCell ref="B54:B6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6" sqref="G6"/>
    </sheetView>
  </sheetViews>
  <sheetFormatPr baseColWidth="10" defaultColWidth="11.125" defaultRowHeight="15.75" x14ac:dyDescent="0.25"/>
  <cols>
    <col min="1" max="1" width="42.875" bestFit="1" customWidth="1"/>
    <col min="3" max="3" width="38.625" bestFit="1" customWidth="1"/>
  </cols>
  <sheetData>
    <row r="1" spans="1:7" x14ac:dyDescent="0.25">
      <c r="A1" t="s">
        <v>0</v>
      </c>
      <c r="C1" t="s">
        <v>45</v>
      </c>
      <c r="E1" t="s">
        <v>64</v>
      </c>
      <c r="G1" t="s">
        <v>76</v>
      </c>
    </row>
    <row r="2" spans="1:7" x14ac:dyDescent="0.25">
      <c r="A2" t="s">
        <v>1</v>
      </c>
      <c r="C2" t="s">
        <v>46</v>
      </c>
      <c r="E2" t="s">
        <v>67</v>
      </c>
      <c r="G2" t="s">
        <v>77</v>
      </c>
    </row>
    <row r="3" spans="1:7" x14ac:dyDescent="0.25">
      <c r="A3" t="s">
        <v>36</v>
      </c>
      <c r="C3" t="s">
        <v>47</v>
      </c>
      <c r="E3" t="s">
        <v>65</v>
      </c>
      <c r="G3" t="s">
        <v>78</v>
      </c>
    </row>
    <row r="4" spans="1:7" x14ac:dyDescent="0.25">
      <c r="A4" t="s">
        <v>2</v>
      </c>
      <c r="C4" t="s">
        <v>48</v>
      </c>
      <c r="E4" t="s">
        <v>66</v>
      </c>
      <c r="G4" t="s">
        <v>79</v>
      </c>
    </row>
    <row r="5" spans="1:7" x14ac:dyDescent="0.25">
      <c r="A5" t="s">
        <v>3</v>
      </c>
      <c r="C5" t="s">
        <v>49</v>
      </c>
      <c r="G5" t="s">
        <v>80</v>
      </c>
    </row>
    <row r="6" spans="1:7" x14ac:dyDescent="0.25">
      <c r="A6" t="s">
        <v>4</v>
      </c>
      <c r="C6" t="s">
        <v>50</v>
      </c>
    </row>
    <row r="7" spans="1:7" x14ac:dyDescent="0.25">
      <c r="A7" t="s">
        <v>5</v>
      </c>
      <c r="C7" t="s">
        <v>51</v>
      </c>
    </row>
    <row r="8" spans="1:7" x14ac:dyDescent="0.25">
      <c r="A8" t="s">
        <v>6</v>
      </c>
      <c r="C8" t="s">
        <v>52</v>
      </c>
    </row>
    <row r="9" spans="1:7" x14ac:dyDescent="0.25">
      <c r="A9" t="s">
        <v>7</v>
      </c>
      <c r="C9" t="s">
        <v>63</v>
      </c>
    </row>
    <row r="10" spans="1:7" x14ac:dyDescent="0.25">
      <c r="A10" t="s">
        <v>8</v>
      </c>
      <c r="C10" t="s">
        <v>53</v>
      </c>
    </row>
    <row r="11" spans="1:7" x14ac:dyDescent="0.25">
      <c r="A11" t="s">
        <v>9</v>
      </c>
      <c r="C11" t="s">
        <v>54</v>
      </c>
    </row>
    <row r="12" spans="1:7" x14ac:dyDescent="0.25">
      <c r="A12" t="s">
        <v>10</v>
      </c>
      <c r="C12" t="s">
        <v>55</v>
      </c>
    </row>
    <row r="13" spans="1:7" x14ac:dyDescent="0.25">
      <c r="A13" t="s">
        <v>11</v>
      </c>
      <c r="C13" t="s">
        <v>56</v>
      </c>
    </row>
    <row r="14" spans="1:7" x14ac:dyDescent="0.25">
      <c r="A14" t="s">
        <v>12</v>
      </c>
      <c r="C14" t="s">
        <v>57</v>
      </c>
    </row>
    <row r="15" spans="1:7" x14ac:dyDescent="0.25">
      <c r="A15" t="s">
        <v>13</v>
      </c>
      <c r="C15" t="s">
        <v>58</v>
      </c>
    </row>
    <row r="16" spans="1:7" x14ac:dyDescent="0.25">
      <c r="A16" t="s">
        <v>14</v>
      </c>
      <c r="C16" t="s">
        <v>59</v>
      </c>
    </row>
    <row r="17" spans="1:3" x14ac:dyDescent="0.25">
      <c r="A17" t="s">
        <v>15</v>
      </c>
      <c r="C17" t="s">
        <v>60</v>
      </c>
    </row>
    <row r="18" spans="1:3" x14ac:dyDescent="0.25">
      <c r="A18" t="s">
        <v>16</v>
      </c>
      <c r="C18" t="s">
        <v>69</v>
      </c>
    </row>
    <row r="19" spans="1:3" x14ac:dyDescent="0.25">
      <c r="A19" t="s">
        <v>17</v>
      </c>
      <c r="C19" t="s">
        <v>61</v>
      </c>
    </row>
    <row r="20" spans="1:3" x14ac:dyDescent="0.25">
      <c r="A20" t="s">
        <v>18</v>
      </c>
      <c r="C20" t="s">
        <v>62</v>
      </c>
    </row>
    <row r="21" spans="1:3" x14ac:dyDescent="0.25">
      <c r="A21" t="s">
        <v>19</v>
      </c>
    </row>
    <row r="22" spans="1:3" x14ac:dyDescent="0.25">
      <c r="A22" t="s">
        <v>20</v>
      </c>
    </row>
    <row r="23" spans="1:3" x14ac:dyDescent="0.25">
      <c r="A23" t="s">
        <v>21</v>
      </c>
    </row>
    <row r="24" spans="1:3" x14ac:dyDescent="0.25">
      <c r="A24" t="s">
        <v>22</v>
      </c>
    </row>
    <row r="25" spans="1:3" x14ac:dyDescent="0.25">
      <c r="A25" t="s">
        <v>23</v>
      </c>
    </row>
    <row r="26" spans="1:3" x14ac:dyDescent="0.25">
      <c r="A26" t="s">
        <v>24</v>
      </c>
    </row>
    <row r="27" spans="1:3" x14ac:dyDescent="0.25">
      <c r="A27" t="s">
        <v>25</v>
      </c>
    </row>
    <row r="28" spans="1:3" x14ac:dyDescent="0.25">
      <c r="A28" t="s">
        <v>26</v>
      </c>
    </row>
    <row r="29" spans="1:3" x14ac:dyDescent="0.25">
      <c r="A29" t="s">
        <v>27</v>
      </c>
    </row>
    <row r="30" spans="1:3" x14ac:dyDescent="0.25">
      <c r="A30" t="s">
        <v>28</v>
      </c>
    </row>
    <row r="31" spans="1:3" x14ac:dyDescent="0.25">
      <c r="A31" t="s">
        <v>29</v>
      </c>
    </row>
    <row r="32" spans="1:3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</sheetData>
  <pageMargins left="0.75" right="0.75" top="1" bottom="1" header="0.5" footer="0.5"/>
  <pageSetup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2018-06-12T15:00:00+00:00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Peru</TermName>
          <TermId xmlns="http://schemas.microsoft.com/office/infopath/2007/PartnerControls">136bddff-84c0-4b53-b20a-87de9b3726fe</TermId>
        </TermInfo>
      </Terms>
    </UNDPCountryTaxHTField0>
    <UndpOUCode xmlns="1ed4137b-41b2-488b-8250-6d369ec27664">PER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5a938f3e-b5a4-495e-a088-c020b8c0a099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386</Value>
      <Value>1113</Value>
      <Value>1415</Value>
      <Value>1414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00075132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</TermName>
          <TermId xmlns="http://schemas.microsoft.com/office/infopath/2007/PartnerControls">f529f6b2-17db-4f65-9787-ac24fc2ab303</TermId>
        </TermInfo>
      </Terms>
    </gc6531b704974d528487414686b72f6f>
    <_dlc_DocId xmlns="f1161f5b-24a3-4c2d-bc81-44cb9325e8ee">ATLASPDC-4-86292</_dlc_DocId>
    <_dlc_DocIdUrl xmlns="f1161f5b-24a3-4c2d-bc81-44cb9325e8ee">
      <Url>https://info.undp.org/docs/pdc/_layouts/DocIdRedir.aspx?ID=ATLASPDC-4-86292</Url>
      <Description>ATLASPDC-4-86292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21FD282-27C4-4179-AC1E-5D95F6C5CB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bfdb27c-58ee-4720-8160-4d5eca42e17d"/>
    <ds:schemaRef ds:uri="http://purl.org/dc/elements/1.1/"/>
    <ds:schemaRef ds:uri="http://schemas.microsoft.com/office/2006/metadata/properties"/>
    <ds:schemaRef ds:uri="http://schemas.microsoft.com/office/infopath/2007/PartnerControls"/>
    <ds:schemaRef ds:uri="8e9875e3-f6ac-4e0f-bc7b-dd767708952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A29292-504C-4235-9A93-7ADFBCB59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1C766A-1335-4F01-9912-EC09F2014EA6}"/>
</file>

<file path=customXml/itemProps4.xml><?xml version="1.0" encoding="utf-8"?>
<ds:datastoreItem xmlns:ds="http://schemas.openxmlformats.org/officeDocument/2006/customXml" ds:itemID="{4077A08A-0FC5-4EA5-B765-8A24F7530E68}"/>
</file>

<file path=customXml/itemProps5.xml><?xml version="1.0" encoding="utf-8"?>
<ds:datastoreItem xmlns:ds="http://schemas.openxmlformats.org/officeDocument/2006/customXml" ds:itemID="{59F04468-F8B8-466E-B0DB-581B79E5ED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PEI PERu CO Project Workplan</vt:lpstr>
      <vt:lpstr>compromisos pago 2017</vt:lpstr>
      <vt:lpstr>presupuesto 2017</vt:lpstr>
      <vt:lpstr>Workplan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Pasante Programa-PE</cp:lastModifiedBy>
  <dcterms:created xsi:type="dcterms:W3CDTF">2016-07-12T11:18:24Z</dcterms:created>
  <dcterms:modified xsi:type="dcterms:W3CDTF">2018-06-12T15:32:34Z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1414;#Peru|136bddff-84c0-4b53-b20a-87de9b3726fe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1415;#PER|f529f6b2-17db-4f65-9787-ac24fc2ab303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386;#Projects|5a938f3e-b5a4-495e-a088-c020b8c0a099</vt:lpwstr>
  </property>
  <property fmtid="{D5CDD505-2E9C-101B-9397-08002B2CF9AE}" pid="13" name="_dlc_DocIdItemGuid">
    <vt:lpwstr>ae925ba7-ba03-4ed9-b9bf-3c181d3e1e50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